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firstSheet="2" activeTab="5"/>
  </bookViews>
  <sheets>
    <sheet name="Lotti 1 - 7" sheetId="1" r:id="rId1"/>
    <sheet name="Lotti 8 - 15" sheetId="2" r:id="rId2"/>
    <sheet name="Lotti 16 - 27" sheetId="3" r:id="rId3"/>
    <sheet name="Lotto 28 - 36" sheetId="4" r:id="rId4"/>
    <sheet name="Lotto 37 - 48 " sheetId="5" r:id="rId5"/>
    <sheet name="Lotto 49 - 53" sheetId="6" r:id="rId6"/>
  </sheets>
  <definedNames>
    <definedName name="_xlnm.Print_Area" localSheetId="0">'Lotti 1 - 7'!$A$2:$P$22</definedName>
    <definedName name="_xlnm.Print_Area" localSheetId="2">'Lotti 16 - 27'!$A$1:$P$33</definedName>
    <definedName name="_xlnm.Print_Area" localSheetId="3">'Lotto 28 - 36'!$A$1:$P$26</definedName>
    <definedName name="_xlnm.Print_Area" localSheetId="4">'Lotto 37 - 48 '!$A$1:$T$29</definedName>
    <definedName name="FILI_AGGIUDICAZIONE">#REF!</definedName>
    <definedName name="_xlnm.Print_Titles" localSheetId="0">'Lotti 1 - 7'!$2:$2</definedName>
    <definedName name="_xlnm.Print_Titles" localSheetId="2">'Lotti 16 - 27'!$1:$1</definedName>
    <definedName name="_xlnm.Print_Titles" localSheetId="1">'Lotti 8 - 15'!$2:$2</definedName>
    <definedName name="_xlnm.Print_Titles" localSheetId="3">'Lotto 28 - 36'!$1:$1</definedName>
    <definedName name="_xlnm.Print_Titles" localSheetId="4">'Lotto 37 - 48 '!$2:$2</definedName>
    <definedName name="_xlnm.Print_Titles" localSheetId="5">'Lotto 49 - 53'!$2:$2</definedName>
  </definedNames>
  <calcPr fullCalcOnLoad="1"/>
</workbook>
</file>

<file path=xl/sharedStrings.xml><?xml version="1.0" encoding="utf-8"?>
<sst xmlns="http://schemas.openxmlformats.org/spreadsheetml/2006/main" count="536" uniqueCount="257">
  <si>
    <t>Suturatrici endoscopiche da 35mm con stelo malleabile; per tessuti vascolari</t>
  </si>
  <si>
    <t xml:space="preserve">Ricariche per suturatrici endoscopiche con stelo malleabile standard; </t>
  </si>
  <si>
    <t>Pinza di Babcock da 5mm. Impugnatura autoatatica disattivabile.; per chirurgia laparoscopica</t>
  </si>
  <si>
    <t xml:space="preserve">Ricariche per suturatrici endoscopiche con stelo malleabile da 35mm. vascolari; </t>
  </si>
  <si>
    <t xml:space="preserve">Trocar da 15 mm. </t>
  </si>
  <si>
    <t>Trocar di Hasson</t>
  </si>
  <si>
    <t>Suturatrici  endoscopiche da 45mm. per chirurgia laparoscopica tessuti vascolari</t>
  </si>
  <si>
    <t>Ricariche per Suturatrici meccaniche per chirurgia a cielo aperto;  lineari da 90mm v.m.</t>
  </si>
  <si>
    <t>Sututatrici lineari monouso con stelo malleabile e testa articolabile da 55mm per tessuti spessi</t>
  </si>
  <si>
    <t>Sututatrici lineari monouso con stelo malleabile e testa articolabile da 55mm per tessuti standard</t>
  </si>
  <si>
    <t>Suturatrici meccaniche per chirurgia a cielo aperto;  per anastomosi e transezione da 100mm.punti in titanio per tessuti standard.</t>
  </si>
  <si>
    <t>Ricariche per Suturatrici meccaniche per chirurgia a cielo aperto;  taglia e cuci da 100mm. Per tessuti standard</t>
  </si>
  <si>
    <t>Suturatrici meccaniche per chirurgia a cielo aperto;  per anastomosi e transezione da 100mm.punti in titanio per tessuti spessi.</t>
  </si>
  <si>
    <t>Ricariche per Suturatrici meccaniche per chirurgia a cielo aperto;  taglia e cuci da 100mm. Per tessuti spessi</t>
  </si>
  <si>
    <t>Pinza di Babcock da 10mm. Impugnatura autoatatica disattivabile.; per chirurgia laparoscopica</t>
  </si>
  <si>
    <t>Sonde multifunzione da 10mm. Per manipolo multifunzione ; per chirurgia laparoscopica</t>
  </si>
  <si>
    <t>Manipolatori uterini monouso  con punta articolata da 7cm e 9cm</t>
  </si>
  <si>
    <t>Strumento laparascopico monouso stelo 10 mm. Per suture intraperitoneale</t>
  </si>
  <si>
    <t>Suturatrici meccaniche per chirurgia a cielo aperto;  lineari monopaziente con altezza regolabile del punto  linea di sutura 90mm</t>
  </si>
  <si>
    <t>Ricariche per Suturatrici meccaniche per chirurgia a cielo aperto;  taglia e cuci da 55/60mm. Per tessuti spessi</t>
  </si>
  <si>
    <t>Suturatrici meccaniche per chirurgia a cielo aperto;  per anastomosi e transezione da 55/60mm.punti in titanio per tessuti spessi</t>
  </si>
  <si>
    <t xml:space="preserve">Aspiratore /irrigatore completo di tubi con cannula da 5mm </t>
  </si>
  <si>
    <t>Trocar monouso da 10/12mm. Con riduttore incorporato, lama piatta tagliente affilata bilaterlmente.</t>
  </si>
  <si>
    <t>Anello bioframmentabile per anastomosi grastointestinali nelle misure con diametro 25 x 1.5</t>
  </si>
  <si>
    <t>Anello bioframmentabile per anastomosi grastointestinali nelle misure con diametro 25 x 2.0</t>
  </si>
  <si>
    <t>Anello bioframmentabile per anastomosi grastointestinali nelle misure con diametro 25 x 2.5</t>
  </si>
  <si>
    <t>Anello bioframmentabile per anastomosi grastointestinali nelle misure con diametro 28 x 1.5</t>
  </si>
  <si>
    <t>Anello bioframmentabile per anastomosi grastointestinali nelle misure con diametro 28 x 2.0</t>
  </si>
  <si>
    <t>Anello bioframmentabile per anastomosi grastointestinali nelle misure con diametro 28 x 2.5</t>
  </si>
  <si>
    <t>Anello bioframmentabile per anastomosi grastointestinali nelle misure con diametro 31 x 1.5</t>
  </si>
  <si>
    <t>Anello bioframmentabile per anastomosi grastointestinali nelle misure con diametro 31 x 2.0</t>
  </si>
  <si>
    <t>Anello bioframmentabile per anastomosi grastointestinali nelle misure con diametro 31 x 2.5</t>
  </si>
  <si>
    <t>Anello bioframmentabile per anastomosi grastointestinali nelle misure con diametro 34 x 1.5</t>
  </si>
  <si>
    <t>Anello bioframmentabile per anastomosi grastointestinali nelle misure con diametro 34 x 2.0</t>
  </si>
  <si>
    <t>Anello bioframmentabile per anastomosi grastointestinali nelle misure con diametro 34 x 2.5</t>
  </si>
  <si>
    <t xml:space="preserve">Suturatrici meccaniche per chirurgia a cielo aperto;  lineari monopaziente con linea di sutura 30mm                                                                </t>
  </si>
  <si>
    <t xml:space="preserve">Ricariche per Suturatrici meccaniche per chirurgia a cielo aperto;  lineari da 30mm v.m.                                                                                 </t>
  </si>
  <si>
    <t xml:space="preserve">Ricariche per Suturatrici meccaniche per chirurgia a cielo aperto; lineari da 45 mm.v.m.                                                                                 </t>
  </si>
  <si>
    <t xml:space="preserve">Suturatrici meccaniche per chirurgia a cielo aperto;  lineari monopaziente con linea di sutura 60mm                                                                </t>
  </si>
  <si>
    <t xml:space="preserve">Ricariche per Suturatrici meccaniche per chirurgia a cielo aperto;  lineari da 60mm v.m.                                                                                 </t>
  </si>
  <si>
    <t xml:space="preserve">Ricariche per Suturatrici meccaniche per chirurgia a cielo aperto;  taglia e cuci da 55/60mm. Per tessuti vascolari                                           </t>
  </si>
  <si>
    <t xml:space="preserve">Suturatrici meccaniche per chirurgia a cielo aperto;  per anastomosi e transezione da 55/60mm.punti in titanio per tessuti standard.                 </t>
  </si>
  <si>
    <t xml:space="preserve">Suturatrici meccaniche per chirurgia a cielo aperto;  lineari monopaziente con linea di sutura 45mm                                                                 </t>
  </si>
  <si>
    <t xml:space="preserve">Suturatrici meccaniche per chirurgia a cielo aperto;  per anastomosi e transezione da 55/60mm.punti in titanio per tessuti vascolari.                  </t>
  </si>
  <si>
    <t xml:space="preserve">Suturatrici meccaniche per chirurgia a cielo aperto;  per anastomosi e transezione da 75/80mm.punti in titanio per tessuti standard.                 </t>
  </si>
  <si>
    <t xml:space="preserve">Ricariche per Suturatrici meccaniche per chirurgia a cielo aperto;  taglia e cuci da 75/80mm. Per tessuti standard                                           </t>
  </si>
  <si>
    <t xml:space="preserve">Suturatrici meccaniche per chirurgia a cielo aperto;  per anastomosi e transezione da 75/80mm.punti in titanio per tessuti spessi.                    </t>
  </si>
  <si>
    <t xml:space="preserve">Ricariche per Suturatrici meccaniche per chirurgia a cielo aperto;  taglia e cuci da 75/80mm. Per tessuti spessi                                              </t>
  </si>
  <si>
    <t xml:space="preserve">Kit per la cura della patologia emorroidaria con suturatrice circolare da 33mm                                                                                              </t>
  </si>
  <si>
    <t xml:space="preserve">Suturaqtrice meccanica per scheletrizzazione dei vasi potenziata a gas                                                                                                       </t>
  </si>
  <si>
    <t xml:space="preserve">Strumento monouso per borsa di tabacco da 45mm con filo premontato                                                                                                       </t>
  </si>
  <si>
    <t xml:space="preserve">Strumento monouso per borsa di tabacco da 65mm con filo premontato                                                                                                       </t>
  </si>
  <si>
    <t xml:space="preserve">Suturatrice lineare articolata da 30mm v.m.                                                                                                                                                </t>
  </si>
  <si>
    <t xml:space="preserve">Estrattore di punti metallici                                                                                                                                                                      </t>
  </si>
  <si>
    <t xml:space="preserve">Suturatrici  endoscopiche da 45mm. per chirurgia laparoscopica tessuti standard-                                                                                         </t>
  </si>
  <si>
    <t xml:space="preserve">Suturatrici  endoscopiche da 45mm. per chirurgia laparoscopica tessuti spessi                                                                                             </t>
  </si>
  <si>
    <t xml:space="preserve">Ricariche per suturatrici da 45mm.; per chirurgia laparoscopica vari tessuti                                                                                                   </t>
  </si>
  <si>
    <t xml:space="preserve">Sacchetto per recupero pezzi  anatomici grandi  stelo da 15mm                                                                                                                  </t>
  </si>
  <si>
    <t xml:space="preserve">Pinza da presa tipo clinch stelo da 5mm.; per chirurgia laparoscopica                                                                                                        </t>
  </si>
  <si>
    <t xml:space="preserve">Grasper da 32cm con stelo da 5mm. Ed impugnatura autostatica disattivabile; per chirurgia laparoscopica                                                    </t>
  </si>
  <si>
    <t xml:space="preserve">Dissettore curvo da 32cm. con stelo da 5mm.; per chirurgia laparoscopica                                                                                                  </t>
  </si>
  <si>
    <t xml:space="preserve">Sonde multifunzione da 5mm.per manipolo multifunzione vari tipi di elettrodi; per chirurgia laparoscopica                                                       </t>
  </si>
  <si>
    <t xml:space="preserve">Ago di Verres , da 120 mm                                                                                                                                                                      </t>
  </si>
  <si>
    <t xml:space="preserve">Ricariche per Suturatrici meccaniche per chirurgia a cielo aperto;  taglia e cuci da 55/60mm. Per tessuti standard                                            </t>
  </si>
  <si>
    <t xml:space="preserve">Manipolo monouso multifunzione taglio coaugulo,aspirazione ed irrigazione; per chirurgia laparoscopica                                                         </t>
  </si>
  <si>
    <t xml:space="preserve">Suturatrice lineare curva taglia e cuci da 40 mm per tessuti standard                                                                                                                                              </t>
  </si>
  <si>
    <t xml:space="preserve">Suturatrice lineare curva taglia e cuci da 40 mm per tessuti spessi                                                                                                                                              </t>
  </si>
  <si>
    <t>Ricariche per suturatrici lineari curve tessuti spessi</t>
  </si>
  <si>
    <t xml:space="preserve">Forbici monouso curve da 5mm. e connettore per elettrobisturi; per chirurgia laparoscopica                                                                                         </t>
  </si>
  <si>
    <t xml:space="preserve">Dispositivo monouso per anastomosi gastroesofagee completo di tastina ribaltante,compatibile con suturatrici circolari con tastina ribaltante.Mis. 21 - 25 mm. </t>
  </si>
  <si>
    <t xml:space="preserve">Clips in titanio per applicatori poliuso  misura piccola                                                                                                                                       </t>
  </si>
  <si>
    <t xml:space="preserve">Clips in titanio per applicatori poliuso  misura media                                                                                                                                    </t>
  </si>
  <si>
    <t xml:space="preserve">Clips in titanio per applicatori poliuso  misura grande                                                                                                                                   </t>
  </si>
  <si>
    <t>Applicatore laparoscopico monouso di 30 clip elicoidali in titanio</t>
  </si>
  <si>
    <t xml:space="preserve">Sacchetti monouso per rec.intraperitoneale azionamento ad anelli.; scchetto 10X15cm circa                                                                          </t>
  </si>
  <si>
    <t>Suturatrice universale Articolabile</t>
  </si>
  <si>
    <t>Cariche da 30 mm per sutura e transezione endoscopiche v.m.</t>
  </si>
  <si>
    <t>Cariche da 60 mm per sutura e transezione endoscopiche v.m.</t>
  </si>
  <si>
    <t>Cariche da 45 mm per sutura e transezione endoscopiche v.m.</t>
  </si>
  <si>
    <t>Ricariche varie misure con sutura assorbibile</t>
  </si>
  <si>
    <t>Ricariche varie misure con sutura non assorbibile</t>
  </si>
  <si>
    <t>n° lotto</t>
  </si>
  <si>
    <t>sub lotto</t>
  </si>
  <si>
    <t>a</t>
  </si>
  <si>
    <t>b</t>
  </si>
  <si>
    <t>c</t>
  </si>
  <si>
    <t>d</t>
  </si>
  <si>
    <t>e</t>
  </si>
  <si>
    <t>f</t>
  </si>
  <si>
    <t xml:space="preserve">Suturatrici meccaniche per chirurgia a cielo aperto;  per anastomosi e transezione da 75/80mm.punti in titanio per tessuti intermedi.                    </t>
  </si>
  <si>
    <t xml:space="preserve">Ricariche per Suturatrici meccaniche per chirurgia a cielo aperto;  taglia e cuci da 75/80mm. Per tessuti intermedi                                            </t>
  </si>
  <si>
    <t xml:space="preserve">Trocars monouso trasparenti multicalibro 10/12mm con lama retta e punta dilatante; cannula zigrinata  riduttore incorporato per chirurgia laparoscopica                   </t>
  </si>
  <si>
    <t xml:space="preserve">Trocars monouso trasparenti multicalibro 5mm. con lama retta e punta dilatante; cannula zigrinata  riduttore incorporato per chirurgia laparoscopica                   </t>
  </si>
  <si>
    <t xml:space="preserve">Applicatori monouso di clips in titanio con stelo da 5mm precaricato con 20 clips circa; per chirurgia laparoscopica </t>
  </si>
  <si>
    <t>Trocar monouso da 5.mm. Con riduttore incorporato, lama piatta tagliente e dilatante.</t>
  </si>
  <si>
    <t>g</t>
  </si>
  <si>
    <t>h</t>
  </si>
  <si>
    <t>i</t>
  </si>
  <si>
    <t>l</t>
  </si>
  <si>
    <t>m</t>
  </si>
  <si>
    <t>n</t>
  </si>
  <si>
    <t>Suturatrice circolare curva con testina ribaltabile Cal. 21 mm.</t>
  </si>
  <si>
    <t>Suturatrice circolare curva con testina ribaltabile Cal. 25 mm.</t>
  </si>
  <si>
    <t xml:space="preserve">Applicatore automatico con  circa 30 clips in titanio medie  e ganasce angolate                                                                                                                     </t>
  </si>
  <si>
    <t xml:space="preserve">Applicatore automatico con circa 20 clips in titanio grandi  e ganasce angolate                                                                                                                                                                                                                                            </t>
  </si>
  <si>
    <t>Ricariche per suturatrici da 60 mm per tessuti standard-vascolari-intermedi</t>
  </si>
  <si>
    <t>Suturatrice taglia e cuci da 60 mm con stelo da 28 cm.per tessuti standard vascolari intermedi.</t>
  </si>
  <si>
    <t xml:space="preserve">Applicatori monouso di clips medie in titanio completamente automatico con stelo in acciaio da 10mm.circa; per chirurgia laparoscopica                 </t>
  </si>
  <si>
    <t xml:space="preserve">Applicatori monouso di clips grandi in titanio completamente automatico con stelo in acciaio da 12mm.circa; per chirurgia laparoscopica                </t>
  </si>
  <si>
    <t>Suturatrici endoscopiche da 35mm con stelo malleabile; per tessuti standard;</t>
  </si>
  <si>
    <t>Suturatrice circolare curva con testina ribaltabile Cal. 28 mm.</t>
  </si>
  <si>
    <t>Ricariche per suturatrici lineari curve tessuti standard</t>
  </si>
  <si>
    <t>CODICE CND</t>
  </si>
  <si>
    <t>H0202010101</t>
  </si>
  <si>
    <t>H020201010102</t>
  </si>
  <si>
    <t>H0202010201</t>
  </si>
  <si>
    <t>H020201020101</t>
  </si>
  <si>
    <t>H0202010302</t>
  </si>
  <si>
    <t>H0202010301</t>
  </si>
  <si>
    <t xml:space="preserve">Suturatrice circolare curva con stelo da 28cm ed altezza regolabile del puntoda 1 mm a 2,5mm diametro 25mm.                                          </t>
  </si>
  <si>
    <t xml:space="preserve">Suturatrice circolare curva con stelo da 28cm ed altezza regolabile del punto da 1 mm a 2,5mm diametro 29mm.                                          </t>
  </si>
  <si>
    <t xml:space="preserve">Suturatrice circolare curva con stelo da 28cm ed altezza regolabile del punto da 1 mm a 2,5mm diametro 33mm.                                          </t>
  </si>
  <si>
    <t>H0202020201</t>
  </si>
  <si>
    <t>H02020203</t>
  </si>
  <si>
    <t>H02010101</t>
  </si>
  <si>
    <t>H03010101</t>
  </si>
  <si>
    <t>H03010201</t>
  </si>
  <si>
    <t>K010101 -</t>
  </si>
  <si>
    <t>H03020101</t>
  </si>
  <si>
    <t>H020303</t>
  </si>
  <si>
    <t>H02030105</t>
  </si>
  <si>
    <t>H02030106</t>
  </si>
  <si>
    <t>K01020102</t>
  </si>
  <si>
    <t>K01020107</t>
  </si>
  <si>
    <t>K01020104</t>
  </si>
  <si>
    <t>K01020101</t>
  </si>
  <si>
    <t>K0201010402</t>
  </si>
  <si>
    <t>K0201010502</t>
  </si>
  <si>
    <t>K0201010102</t>
  </si>
  <si>
    <t>K01020110</t>
  </si>
  <si>
    <t>K01010105</t>
  </si>
  <si>
    <t>K01010102</t>
  </si>
  <si>
    <t>K01019001</t>
  </si>
  <si>
    <t>Codice prodotto offerto</t>
  </si>
  <si>
    <t>Aliq.     IVA</t>
  </si>
  <si>
    <t>N° pezzi per conf.</t>
  </si>
  <si>
    <t>quantItà presunta annua</t>
  </si>
  <si>
    <t>SUTURATRICI -  PRODOTTI PER  LAPAROSCOPICA ( Prodotti richiesti)</t>
  </si>
  <si>
    <t>Importo          Complessivo annuo                    a base d'asta</t>
  </si>
  <si>
    <t>Prezzo complessivo annuo offerto  IVA esclusa</t>
  </si>
  <si>
    <t>Prezzo unitario offerto      IVA esclusa</t>
  </si>
  <si>
    <t>Prezzo complessivo annuo offerto per l'intero lotto                 IVA esclusa</t>
  </si>
  <si>
    <t>Totale punti qualità</t>
  </si>
  <si>
    <t>Totale punti prezzo</t>
  </si>
  <si>
    <t>Punteggio totale</t>
  </si>
  <si>
    <t>Ditta</t>
  </si>
  <si>
    <t>253LS30X</t>
  </si>
  <si>
    <t>253LSR30X</t>
  </si>
  <si>
    <t>253LS45X</t>
  </si>
  <si>
    <t>253LSR45X</t>
  </si>
  <si>
    <t>253LS60X</t>
  </si>
  <si>
    <t>253LSR60X</t>
  </si>
  <si>
    <t>253LC60B</t>
  </si>
  <si>
    <t>253LCR60B</t>
  </si>
  <si>
    <t>FAS HOSPITAL</t>
  </si>
  <si>
    <t>253LC60G</t>
  </si>
  <si>
    <t>253LCR60G</t>
  </si>
  <si>
    <t>253LC80B</t>
  </si>
  <si>
    <t>253LCR80B</t>
  </si>
  <si>
    <t>253LC80G</t>
  </si>
  <si>
    <t>253LCR80G</t>
  </si>
  <si>
    <t>253CPH32</t>
  </si>
  <si>
    <t>FAS Hospital</t>
  </si>
  <si>
    <t>CO659</t>
  </si>
  <si>
    <t>C0522</t>
  </si>
  <si>
    <t>L19BC13302</t>
  </si>
  <si>
    <t>FORMEDICAL</t>
  </si>
  <si>
    <t>TLH90</t>
  </si>
  <si>
    <t>TRH90</t>
  </si>
  <si>
    <t>TVC55</t>
  </si>
  <si>
    <t>TVR55</t>
  </si>
  <si>
    <t>TCD75</t>
  </si>
  <si>
    <t>TRD75</t>
  </si>
  <si>
    <t>TLC10</t>
  </si>
  <si>
    <t>TCR10</t>
  </si>
  <si>
    <t>TCT10</t>
  </si>
  <si>
    <t>TRT10</t>
  </si>
  <si>
    <t>ECS25</t>
  </si>
  <si>
    <t>ECS29</t>
  </si>
  <si>
    <t>ECS33</t>
  </si>
  <si>
    <t>EL5ML</t>
  </si>
  <si>
    <t>ER420</t>
  </si>
  <si>
    <t>6TB45</t>
  </si>
  <si>
    <t>ATG45</t>
  </si>
  <si>
    <t>ATW45</t>
  </si>
  <si>
    <t>6R45B-TR45W-TR45G</t>
  </si>
  <si>
    <t>ATW35</t>
  </si>
  <si>
    <t>TR35W</t>
  </si>
  <si>
    <t>ATB35</t>
  </si>
  <si>
    <t>TR35B</t>
  </si>
  <si>
    <t>10BB</t>
  </si>
  <si>
    <t>EPH01</t>
  </si>
  <si>
    <t>EPS01-EPS02-EPS03-EPS13</t>
  </si>
  <si>
    <t>EPS11-EPS12</t>
  </si>
  <si>
    <t>UM201-UM202</t>
  </si>
  <si>
    <t>CS40B</t>
  </si>
  <si>
    <t>CR40B</t>
  </si>
  <si>
    <t>CS40G</t>
  </si>
  <si>
    <t>CR40G</t>
  </si>
  <si>
    <t>EC60</t>
  </si>
  <si>
    <t>ECR60B-ECR60W-ECR60D-ECR60G</t>
  </si>
  <si>
    <t>Sanit Sud</t>
  </si>
  <si>
    <t>O17612</t>
  </si>
  <si>
    <t>O17614</t>
  </si>
  <si>
    <t>ORVIL 21/ ORVIL 25</t>
  </si>
  <si>
    <t>EEA21</t>
  </si>
  <si>
    <t>EEA25</t>
  </si>
  <si>
    <t>EEA28 / EEA31</t>
  </si>
  <si>
    <t>O92001</t>
  </si>
  <si>
    <t>O20730</t>
  </si>
  <si>
    <t>O20242</t>
  </si>
  <si>
    <t>017615 / 017617 / 017619</t>
  </si>
  <si>
    <t>174006 / ABSORBATACK</t>
  </si>
  <si>
    <t>O30449 / EGIAUNIVXL</t>
  </si>
  <si>
    <t>030450 / 030451 / 030452</t>
  </si>
  <si>
    <t>030453 / 030454 / 030455 / 030456</t>
  </si>
  <si>
    <t>030457 / 030458 / 030459</t>
  </si>
  <si>
    <t>DA 170050 A 170096</t>
  </si>
  <si>
    <t>DA 173024 A  170004</t>
  </si>
  <si>
    <t>Teleflex</t>
  </si>
  <si>
    <t>6 PEZZI</t>
  </si>
  <si>
    <t>HZ1200</t>
  </si>
  <si>
    <t>180 PZ</t>
  </si>
  <si>
    <t>HZ2200</t>
  </si>
  <si>
    <t>HZ4200</t>
  </si>
  <si>
    <t>120 PZ</t>
  </si>
  <si>
    <t>GE Medical Systems Italia</t>
  </si>
  <si>
    <t>2Z01906</t>
  </si>
  <si>
    <t>2Z0F-35R</t>
  </si>
  <si>
    <t>2Z01803</t>
  </si>
  <si>
    <t>2Z0FEP15710</t>
  </si>
  <si>
    <t>2Z0SI-330500</t>
  </si>
  <si>
    <t>B Braun Milano</t>
  </si>
  <si>
    <t>PO843SU</t>
  </si>
  <si>
    <t xml:space="preserve">1 PAC - 5 PZ </t>
  </si>
  <si>
    <t>PO842SU</t>
  </si>
  <si>
    <t>PO841SU</t>
  </si>
  <si>
    <t>PO840SU</t>
  </si>
  <si>
    <t>LAPROSURGE-EC10SHL+</t>
  </si>
  <si>
    <t>LAPROSURGE-EC12SHL</t>
  </si>
  <si>
    <t>EJ995</t>
  </si>
  <si>
    <t xml:space="preserve">1 PAC - 20 PZ </t>
  </si>
  <si>
    <r>
      <t xml:space="preserve">Suturatrice cutanea monouso da 35 punti larghi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</si>
  <si>
    <r>
      <t xml:space="preserve">Suturatrice cutanea monouso da 35 punti regolari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</si>
  <si>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Forbici monouso curve con stelo da 5mm articolabili; per chirurgia laparoscopica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</si>
  <si>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ER320</t>
  </si>
  <si>
    <t>174309 / 176643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</si>
</sst>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[&gt;0]#,##0\ ;[&lt;0]\-#,##0\ ;&quot; - &quot;"/>
    <numFmt numFmtId="172" formatCode="[&gt;0]&quot; L. &quot;#,##0\ ;[&lt;0]&quot;-L. &quot;#,##0\ ;&quot; L. - &quot;"/>
    <numFmt numFmtId="173" formatCode="&quot;€&quot;\ #,##0.00"/>
    <numFmt numFmtId="174" formatCode="_-[$€-410]\ * #,##0.00_-;\-[$€-410]\ * #,##0.00_-;_-[$€-410]\ * &quot;-&quot;??_-;_-@_-"/>
    <numFmt numFmtId="175" formatCode="#,##0_ ;\-#,##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€&quot;\ #,##0.00;[Red]&quot;€&quot;\ #,##0.00"/>
    <numFmt numFmtId="181" formatCode="_-[$€]\ * #,##0.00_-;\-[$€]\ * #,##0.00_-;_-[$€]\ * &quot;-&quot;??_-;_-@_-"/>
    <numFmt numFmtId="182" formatCode="_-* #,##0.00\ [$€-1007]_-;\-* #,##0.00\ [$€-1007]_-;_-* &quot;-&quot;??\ [$€-1007]_-;_-@_-"/>
    <numFmt numFmtId="183" formatCode="0.00000"/>
    <numFmt numFmtId="184" formatCode="&quot;€&quot;\ #,##0.00000"/>
    <numFmt numFmtId="185" formatCode="############"/>
    <numFmt numFmtId="186" formatCode="&quot;€&quot;\ #,##0.00000;[Red]\-&quot;€&quot;\ #,##0.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81" fontId="0" fillId="0" borderId="1" xfId="17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5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181" fontId="0" fillId="0" borderId="1" xfId="17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85" fontId="6" fillId="2" borderId="1" xfId="0" applyNumberFormat="1" applyFont="1" applyFill="1" applyBorder="1" applyAlignment="1">
      <alignment horizontal="center" vertical="center" wrapText="1"/>
    </xf>
    <xf numFmtId="183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17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74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0" fontId="0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3" borderId="0" xfId="0" applyNumberFormat="1" applyFont="1" applyFill="1" applyBorder="1" applyAlignment="1">
      <alignment horizontal="center" vertical="center"/>
    </xf>
    <xf numFmtId="44" fontId="0" fillId="3" borderId="0" xfId="0" applyNumberFormat="1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174" fontId="0" fillId="3" borderId="12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0" fillId="3" borderId="12" xfId="0" applyNumberFormat="1" applyFont="1" applyFill="1" applyBorder="1" applyAlignment="1">
      <alignment horizontal="center" vertical="center"/>
    </xf>
    <xf numFmtId="44" fontId="8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4" fontId="8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174" fontId="8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4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181" fontId="8" fillId="0" borderId="1" xfId="17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7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44" fontId="8" fillId="0" borderId="1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74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4" fontId="8" fillId="0" borderId="1" xfId="17" applyNumberFormat="1" applyFont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4" fontId="8" fillId="3" borderId="0" xfId="0" applyNumberFormat="1" applyFont="1" applyFill="1" applyAlignment="1">
      <alignment horizontal="center" vertical="center" wrapText="1"/>
    </xf>
    <xf numFmtId="10" fontId="8" fillId="3" borderId="0" xfId="0" applyNumberFormat="1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4" fontId="8" fillId="3" borderId="0" xfId="0" applyNumberFormat="1" applyFont="1" applyFill="1" applyAlignment="1">
      <alignment horizontal="center" vertical="center" wrapText="1"/>
    </xf>
    <xf numFmtId="185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4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3" borderId="25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74" fontId="0" fillId="3" borderId="25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17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0" fillId="3" borderId="25" xfId="0" applyNumberFormat="1" applyFont="1" applyFill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 vertical="center" wrapText="1"/>
    </xf>
    <xf numFmtId="44" fontId="0" fillId="0" borderId="1" xfId="17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1" fontId="8" fillId="0" borderId="1" xfId="17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44" fontId="8" fillId="3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 wrapText="1"/>
    </xf>
    <xf numFmtId="174" fontId="0" fillId="3" borderId="0" xfId="0" applyNumberFormat="1" applyFont="1" applyFill="1" applyAlignment="1">
      <alignment horizontal="center" vertical="center" wrapText="1"/>
    </xf>
    <xf numFmtId="44" fontId="0" fillId="3" borderId="0" xfId="0" applyNumberFormat="1" applyFont="1" applyFill="1" applyAlignment="1">
      <alignment horizontal="center" vertical="center" wrapText="1"/>
    </xf>
    <xf numFmtId="10" fontId="0" fillId="3" borderId="0" xfId="0" applyNumberFormat="1" applyFont="1" applyFill="1" applyAlignment="1">
      <alignment horizontal="center" vertical="center" wrapText="1"/>
    </xf>
    <xf numFmtId="1" fontId="0" fillId="3" borderId="0" xfId="0" applyNumberFormat="1" applyFont="1" applyFill="1" applyAlignment="1">
      <alignment horizontal="center" vertical="center" wrapText="1"/>
    </xf>
    <xf numFmtId="2" fontId="0" fillId="3" borderId="0" xfId="0" applyNumberFormat="1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5" fontId="6" fillId="2" borderId="15" xfId="0" applyNumberFormat="1" applyFont="1" applyFill="1" applyBorder="1" applyAlignment="1">
      <alignment horizontal="center" vertical="center" wrapText="1"/>
    </xf>
    <xf numFmtId="183" fontId="6" fillId="2" borderId="15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44" fontId="6" fillId="2" borderId="15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4" fontId="8" fillId="0" borderId="35" xfId="0" applyNumberFormat="1" applyFont="1" applyBorder="1" applyAlignment="1">
      <alignment horizontal="center" vertical="center" wrapText="1"/>
    </xf>
    <xf numFmtId="174" fontId="8" fillId="0" borderId="25" xfId="0" applyNumberFormat="1" applyFont="1" applyBorder="1" applyAlignment="1">
      <alignment horizontal="center" vertical="center" wrapText="1"/>
    </xf>
    <xf numFmtId="174" fontId="8" fillId="0" borderId="28" xfId="0" applyNumberFormat="1" applyFont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="75" zoomScaleNormal="75"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" sqref="Q3:T10"/>
    </sheetView>
  </sheetViews>
  <sheetFormatPr defaultColWidth="9.140625" defaultRowHeight="12.75"/>
  <cols>
    <col min="1" max="1" width="16.28125" style="127" customWidth="1"/>
    <col min="2" max="2" width="5.140625" style="137" customWidth="1"/>
    <col min="3" max="3" width="5.00390625" style="138" customWidth="1"/>
    <col min="4" max="4" width="44.421875" style="25" customWidth="1"/>
    <col min="5" max="5" width="7.57421875" style="14" customWidth="1"/>
    <col min="6" max="6" width="12.140625" style="18" customWidth="1"/>
    <col min="7" max="7" width="13.8515625" style="18" customWidth="1"/>
    <col min="8" max="8" width="10.57421875" style="19" customWidth="1"/>
    <col min="9" max="9" width="10.8515625" style="19" customWidth="1"/>
    <col min="10" max="10" width="14.421875" style="19" customWidth="1"/>
    <col min="11" max="11" width="14.421875" style="81" customWidth="1"/>
    <col min="12" max="12" width="5.28125" style="20" customWidth="1"/>
    <col min="13" max="13" width="8.140625" style="19" customWidth="1"/>
    <col min="14" max="14" width="6.140625" style="19" customWidth="1"/>
    <col min="15" max="15" width="6.421875" style="21" customWidth="1"/>
    <col min="16" max="16" width="9.28125" style="22" customWidth="1"/>
    <col min="17" max="16384" width="9.140625" style="14" customWidth="1"/>
  </cols>
  <sheetData>
    <row r="1" ht="12.75">
      <c r="D1" s="17"/>
    </row>
    <row r="2" spans="1:16" s="1" customFormat="1" ht="63.75">
      <c r="A2" s="27" t="s">
        <v>112</v>
      </c>
      <c r="B2" s="28" t="s">
        <v>81</v>
      </c>
      <c r="C2" s="28" t="s">
        <v>82</v>
      </c>
      <c r="D2" s="28" t="s">
        <v>147</v>
      </c>
      <c r="E2" s="28" t="s">
        <v>146</v>
      </c>
      <c r="F2" s="6" t="s">
        <v>148</v>
      </c>
      <c r="G2" s="6" t="s">
        <v>155</v>
      </c>
      <c r="H2" s="40" t="s">
        <v>143</v>
      </c>
      <c r="I2" s="40" t="s">
        <v>150</v>
      </c>
      <c r="J2" s="40" t="s">
        <v>149</v>
      </c>
      <c r="K2" s="90" t="s">
        <v>151</v>
      </c>
      <c r="L2" s="41" t="s">
        <v>144</v>
      </c>
      <c r="M2" s="40" t="s">
        <v>145</v>
      </c>
      <c r="N2" s="40" t="s">
        <v>152</v>
      </c>
      <c r="O2" s="42" t="s">
        <v>153</v>
      </c>
      <c r="P2" s="42" t="s">
        <v>154</v>
      </c>
    </row>
    <row r="3" spans="1:20" s="11" customFormat="1" ht="25.5">
      <c r="A3" s="89" t="s">
        <v>113</v>
      </c>
      <c r="B3" s="250">
        <v>1</v>
      </c>
      <c r="C3" s="39" t="s">
        <v>83</v>
      </c>
      <c r="D3" s="29" t="s">
        <v>35</v>
      </c>
      <c r="E3" s="11">
        <v>12</v>
      </c>
      <c r="F3" s="259">
        <f>316*12+148*24</f>
        <v>7344</v>
      </c>
      <c r="G3" s="261" t="s">
        <v>164</v>
      </c>
      <c r="H3" s="5" t="s">
        <v>156</v>
      </c>
      <c r="I3" s="9">
        <v>182.4</v>
      </c>
      <c r="J3" s="9">
        <f>E3*I3</f>
        <v>2188.8</v>
      </c>
      <c r="K3" s="260">
        <f>J3+J4</f>
        <v>4953.6</v>
      </c>
      <c r="L3" s="30">
        <v>0.2</v>
      </c>
      <c r="M3" s="5">
        <v>3</v>
      </c>
      <c r="N3" s="256">
        <v>40</v>
      </c>
      <c r="O3" s="254">
        <f>50*4953.6/4953.6</f>
        <v>50</v>
      </c>
      <c r="P3" s="254">
        <f>SUM(N3:O3)</f>
        <v>90</v>
      </c>
      <c r="Q3" s="264"/>
      <c r="R3" s="265"/>
      <c r="S3" s="265"/>
      <c r="T3" s="266"/>
    </row>
    <row r="4" spans="1:20" s="11" customFormat="1" ht="25.5">
      <c r="A4" s="89" t="s">
        <v>117</v>
      </c>
      <c r="B4" s="250"/>
      <c r="C4" s="39" t="s">
        <v>84</v>
      </c>
      <c r="D4" s="29" t="s">
        <v>36</v>
      </c>
      <c r="E4" s="11">
        <v>24</v>
      </c>
      <c r="F4" s="259"/>
      <c r="G4" s="261"/>
      <c r="H4" s="5" t="s">
        <v>157</v>
      </c>
      <c r="I4" s="9">
        <v>115.2</v>
      </c>
      <c r="J4" s="9">
        <f>E4*I4</f>
        <v>2764.8</v>
      </c>
      <c r="K4" s="260"/>
      <c r="L4" s="30">
        <v>0.2</v>
      </c>
      <c r="M4" s="5">
        <v>12</v>
      </c>
      <c r="N4" s="256"/>
      <c r="O4" s="254"/>
      <c r="P4" s="254"/>
      <c r="Q4" s="267"/>
      <c r="R4" s="268"/>
      <c r="S4" s="268"/>
      <c r="T4" s="249"/>
    </row>
    <row r="5" spans="1:21" s="16" customFormat="1" ht="9" customHeight="1">
      <c r="A5" s="130"/>
      <c r="B5" s="139"/>
      <c r="C5" s="140"/>
      <c r="D5" s="68"/>
      <c r="E5" s="66"/>
      <c r="F5" s="69"/>
      <c r="G5" s="69"/>
      <c r="H5" s="70"/>
      <c r="I5" s="70"/>
      <c r="J5" s="70"/>
      <c r="K5" s="82"/>
      <c r="L5" s="71"/>
      <c r="M5" s="70"/>
      <c r="N5" s="70"/>
      <c r="O5" s="72"/>
      <c r="P5" s="73"/>
      <c r="Q5" s="66"/>
      <c r="R5" s="66"/>
      <c r="S5" s="66"/>
      <c r="T5" s="66"/>
      <c r="U5" s="66"/>
    </row>
    <row r="6" spans="1:20" s="11" customFormat="1" ht="25.5">
      <c r="A6" s="89" t="s">
        <v>113</v>
      </c>
      <c r="B6" s="250">
        <v>2</v>
      </c>
      <c r="C6" s="39" t="s">
        <v>83</v>
      </c>
      <c r="D6" s="29" t="s">
        <v>42</v>
      </c>
      <c r="E6" s="11">
        <v>12</v>
      </c>
      <c r="F6" s="259">
        <f>324*12+154*36</f>
        <v>9432</v>
      </c>
      <c r="G6" s="263" t="s">
        <v>164</v>
      </c>
      <c r="H6" s="5" t="s">
        <v>158</v>
      </c>
      <c r="I6" s="9">
        <v>182.4</v>
      </c>
      <c r="J6" s="9">
        <f>E6*I6</f>
        <v>2188.8</v>
      </c>
      <c r="K6" s="260">
        <f>J6+J7</f>
        <v>6336</v>
      </c>
      <c r="L6" s="30">
        <v>0.2</v>
      </c>
      <c r="M6" s="5">
        <v>3</v>
      </c>
      <c r="N6" s="257">
        <v>40</v>
      </c>
      <c r="O6" s="271">
        <f>50*6336/6336</f>
        <v>50</v>
      </c>
      <c r="P6" s="271">
        <f>SUM(N6:O6)</f>
        <v>90</v>
      </c>
      <c r="Q6" s="264"/>
      <c r="R6" s="265"/>
      <c r="S6" s="265"/>
      <c r="T6" s="266"/>
    </row>
    <row r="7" spans="1:20" s="11" customFormat="1" ht="25.5">
      <c r="A7" s="89" t="s">
        <v>117</v>
      </c>
      <c r="B7" s="250"/>
      <c r="C7" s="39" t="s">
        <v>84</v>
      </c>
      <c r="D7" s="29" t="s">
        <v>37</v>
      </c>
      <c r="E7" s="11">
        <v>36</v>
      </c>
      <c r="F7" s="259"/>
      <c r="G7" s="263"/>
      <c r="H7" s="5" t="s">
        <v>159</v>
      </c>
      <c r="I7" s="9">
        <v>115.2</v>
      </c>
      <c r="J7" s="9">
        <f>E7*I7</f>
        <v>4147.2</v>
      </c>
      <c r="K7" s="260"/>
      <c r="L7" s="30">
        <v>0.2</v>
      </c>
      <c r="M7" s="5">
        <v>12</v>
      </c>
      <c r="N7" s="257"/>
      <c r="O7" s="271"/>
      <c r="P7" s="271"/>
      <c r="Q7" s="267"/>
      <c r="R7" s="268"/>
      <c r="S7" s="268"/>
      <c r="T7" s="249"/>
    </row>
    <row r="8" spans="1:21" s="16" customFormat="1" ht="8.25" customHeight="1">
      <c r="A8" s="130"/>
      <c r="B8" s="139"/>
      <c r="C8" s="140"/>
      <c r="D8" s="68"/>
      <c r="E8" s="66"/>
      <c r="F8" s="69"/>
      <c r="G8" s="69"/>
      <c r="H8" s="70"/>
      <c r="I8" s="70"/>
      <c r="J8" s="70"/>
      <c r="K8" s="82"/>
      <c r="L8" s="71"/>
      <c r="M8" s="70"/>
      <c r="N8" s="70"/>
      <c r="O8" s="72"/>
      <c r="P8" s="73"/>
      <c r="Q8" s="66"/>
      <c r="R8" s="66"/>
      <c r="S8" s="66"/>
      <c r="T8" s="66"/>
      <c r="U8" s="66"/>
    </row>
    <row r="9" spans="1:20" s="11" customFormat="1" ht="25.5">
      <c r="A9" s="89" t="s">
        <v>113</v>
      </c>
      <c r="B9" s="250">
        <v>3</v>
      </c>
      <c r="C9" s="39" t="s">
        <v>83</v>
      </c>
      <c r="D9" s="29" t="s">
        <v>38</v>
      </c>
      <c r="E9" s="11">
        <v>12</v>
      </c>
      <c r="F9" s="259">
        <f>334*12+146*24</f>
        <v>7512</v>
      </c>
      <c r="G9" s="263" t="s">
        <v>164</v>
      </c>
      <c r="H9" s="5" t="s">
        <v>160</v>
      </c>
      <c r="I9" s="9">
        <v>182.4</v>
      </c>
      <c r="J9" s="9">
        <f>E9*I9</f>
        <v>2188.8</v>
      </c>
      <c r="K9" s="260">
        <f>J9+J10</f>
        <v>4953.6</v>
      </c>
      <c r="L9" s="30">
        <v>0.2</v>
      </c>
      <c r="M9" s="5">
        <v>3</v>
      </c>
      <c r="N9" s="257">
        <v>40</v>
      </c>
      <c r="O9" s="271">
        <f>50*4953.6/4953.6</f>
        <v>50</v>
      </c>
      <c r="P9" s="271">
        <f>SUM(N9:O9)</f>
        <v>90</v>
      </c>
      <c r="Q9" s="264"/>
      <c r="R9" s="265"/>
      <c r="S9" s="265"/>
      <c r="T9" s="266"/>
    </row>
    <row r="10" spans="1:20" s="11" customFormat="1" ht="25.5">
      <c r="A10" s="89" t="s">
        <v>117</v>
      </c>
      <c r="B10" s="250"/>
      <c r="C10" s="39" t="s">
        <v>84</v>
      </c>
      <c r="D10" s="29" t="s">
        <v>39</v>
      </c>
      <c r="E10" s="11">
        <v>24</v>
      </c>
      <c r="F10" s="259"/>
      <c r="G10" s="263"/>
      <c r="H10" s="5" t="s">
        <v>161</v>
      </c>
      <c r="I10" s="9">
        <v>115.2</v>
      </c>
      <c r="J10" s="9">
        <f>E10*I10</f>
        <v>2764.8</v>
      </c>
      <c r="K10" s="260"/>
      <c r="L10" s="30">
        <v>0.2</v>
      </c>
      <c r="M10" s="5">
        <v>12</v>
      </c>
      <c r="N10" s="257"/>
      <c r="O10" s="271"/>
      <c r="P10" s="271"/>
      <c r="Q10" s="267"/>
      <c r="R10" s="268"/>
      <c r="S10" s="268"/>
      <c r="T10" s="249"/>
    </row>
    <row r="11" spans="1:21" ht="9" customHeight="1">
      <c r="A11" s="170"/>
      <c r="B11" s="141"/>
      <c r="C11" s="139"/>
      <c r="D11" s="76"/>
      <c r="E11" s="75"/>
      <c r="F11" s="77"/>
      <c r="G11" s="77"/>
      <c r="H11" s="78"/>
      <c r="I11" s="78"/>
      <c r="J11" s="78"/>
      <c r="K11" s="83"/>
      <c r="L11" s="79"/>
      <c r="M11" s="78"/>
      <c r="N11" s="78"/>
      <c r="O11" s="80"/>
      <c r="P11" s="73"/>
      <c r="Q11" s="75"/>
      <c r="R11" s="75"/>
      <c r="S11" s="75"/>
      <c r="T11" s="75"/>
      <c r="U11" s="75"/>
    </row>
    <row r="12" spans="1:16" s="11" customFormat="1" ht="38.25">
      <c r="A12" s="89" t="s">
        <v>113</v>
      </c>
      <c r="B12" s="250">
        <v>4</v>
      </c>
      <c r="C12" s="39" t="s">
        <v>83</v>
      </c>
      <c r="D12" s="29" t="s">
        <v>18</v>
      </c>
      <c r="E12" s="11">
        <v>9</v>
      </c>
      <c r="F12" s="259">
        <f>329*9+155*24</f>
        <v>6681</v>
      </c>
      <c r="G12" s="261" t="s">
        <v>176</v>
      </c>
      <c r="H12" s="4" t="s">
        <v>177</v>
      </c>
      <c r="I12" s="33">
        <v>286</v>
      </c>
      <c r="J12" s="33">
        <f>E12*I12</f>
        <v>2574</v>
      </c>
      <c r="K12" s="262">
        <f>J12+J13</f>
        <v>5838</v>
      </c>
      <c r="L12" s="34">
        <v>0.2</v>
      </c>
      <c r="M12" s="4">
        <v>3</v>
      </c>
      <c r="N12" s="258">
        <v>42</v>
      </c>
      <c r="O12" s="255">
        <f>50*5838/5838</f>
        <v>50</v>
      </c>
      <c r="P12" s="255">
        <f>SUM(N12:O12)</f>
        <v>92</v>
      </c>
    </row>
    <row r="13" spans="1:16" s="11" customFormat="1" ht="25.5">
      <c r="A13" s="89" t="s">
        <v>117</v>
      </c>
      <c r="B13" s="250"/>
      <c r="C13" s="39" t="s">
        <v>84</v>
      </c>
      <c r="D13" s="29" t="s">
        <v>7</v>
      </c>
      <c r="E13" s="11">
        <v>24</v>
      </c>
      <c r="F13" s="259"/>
      <c r="G13" s="261"/>
      <c r="H13" s="4" t="s">
        <v>178</v>
      </c>
      <c r="I13" s="33">
        <v>136</v>
      </c>
      <c r="J13" s="33">
        <f>E13*I13</f>
        <v>3264</v>
      </c>
      <c r="K13" s="262"/>
      <c r="L13" s="34">
        <v>0.2</v>
      </c>
      <c r="M13" s="4">
        <v>12</v>
      </c>
      <c r="N13" s="258"/>
      <c r="O13" s="255"/>
      <c r="P13" s="255"/>
    </row>
    <row r="15" spans="1:16" ht="25.5">
      <c r="A15" s="89" t="s">
        <v>115</v>
      </c>
      <c r="B15" s="250">
        <v>5</v>
      </c>
      <c r="C15" s="39" t="s">
        <v>83</v>
      </c>
      <c r="D15" s="29" t="s">
        <v>8</v>
      </c>
      <c r="E15" s="11">
        <v>6</v>
      </c>
      <c r="F15" s="259">
        <v>6768</v>
      </c>
      <c r="G15" s="251" t="s">
        <v>211</v>
      </c>
      <c r="H15" s="12" t="s">
        <v>212</v>
      </c>
      <c r="I15" s="13">
        <v>507.6</v>
      </c>
      <c r="J15" s="13">
        <v>3045.6</v>
      </c>
      <c r="K15" s="252">
        <v>6091.2</v>
      </c>
      <c r="L15" s="36">
        <v>0.2</v>
      </c>
      <c r="M15" s="12">
        <v>3</v>
      </c>
      <c r="N15" s="258">
        <v>41</v>
      </c>
      <c r="O15" s="255">
        <f>50*6041.2/6041.2</f>
        <v>50</v>
      </c>
      <c r="P15" s="255">
        <f>SUM(N15:O15)</f>
        <v>91</v>
      </c>
    </row>
    <row r="16" spans="1:16" ht="25.5">
      <c r="A16" s="89" t="s">
        <v>116</v>
      </c>
      <c r="B16" s="250"/>
      <c r="C16" s="39" t="s">
        <v>84</v>
      </c>
      <c r="D16" s="29" t="s">
        <v>9</v>
      </c>
      <c r="E16" s="11">
        <v>6</v>
      </c>
      <c r="F16" s="259"/>
      <c r="G16" s="251"/>
      <c r="H16" s="12" t="s">
        <v>213</v>
      </c>
      <c r="I16" s="13">
        <v>507.6</v>
      </c>
      <c r="J16" s="13">
        <v>3045.6</v>
      </c>
      <c r="K16" s="252"/>
      <c r="L16" s="36">
        <v>0.2</v>
      </c>
      <c r="M16" s="12">
        <v>3</v>
      </c>
      <c r="N16" s="258"/>
      <c r="O16" s="255"/>
      <c r="P16" s="255"/>
    </row>
    <row r="17" spans="1:16" ht="12.75">
      <c r="A17" s="215"/>
      <c r="B17" s="134"/>
      <c r="C17" s="135"/>
      <c r="D17" s="85"/>
      <c r="E17" s="84"/>
      <c r="F17" s="86"/>
      <c r="G17" s="87"/>
      <c r="H17" s="87"/>
      <c r="I17" s="87"/>
      <c r="J17" s="87"/>
      <c r="K17" s="91"/>
      <c r="L17" s="87"/>
      <c r="M17" s="84"/>
      <c r="N17" s="84"/>
      <c r="O17" s="88"/>
      <c r="P17" s="88"/>
    </row>
    <row r="18" spans="1:16" ht="38.25">
      <c r="A18" s="89" t="s">
        <v>114</v>
      </c>
      <c r="B18" s="250">
        <v>6</v>
      </c>
      <c r="C18" s="39" t="s">
        <v>83</v>
      </c>
      <c r="D18" s="29" t="s">
        <v>43</v>
      </c>
      <c r="E18" s="11">
        <v>12</v>
      </c>
      <c r="F18" s="259">
        <f>349*12+193*24</f>
        <v>8820</v>
      </c>
      <c r="G18" s="251" t="s">
        <v>176</v>
      </c>
      <c r="H18" s="4" t="s">
        <v>179</v>
      </c>
      <c r="I18" s="33">
        <v>320</v>
      </c>
      <c r="J18" s="33">
        <f>E18*I18</f>
        <v>3840</v>
      </c>
      <c r="K18" s="262">
        <f>J18+J19</f>
        <v>7824</v>
      </c>
      <c r="L18" s="34">
        <v>0.2</v>
      </c>
      <c r="M18" s="4">
        <v>3</v>
      </c>
      <c r="N18" s="258">
        <v>42</v>
      </c>
      <c r="O18" s="255">
        <f>50*7824/7824</f>
        <v>50</v>
      </c>
      <c r="P18" s="255">
        <f>SUM(N18:O18)</f>
        <v>92</v>
      </c>
    </row>
    <row r="19" spans="1:16" ht="38.25">
      <c r="A19" s="89" t="s">
        <v>118</v>
      </c>
      <c r="B19" s="250"/>
      <c r="C19" s="39" t="s">
        <v>84</v>
      </c>
      <c r="D19" s="29" t="s">
        <v>40</v>
      </c>
      <c r="E19" s="11">
        <v>24</v>
      </c>
      <c r="F19" s="259"/>
      <c r="G19" s="251"/>
      <c r="H19" s="4" t="s">
        <v>180</v>
      </c>
      <c r="I19" s="33">
        <v>166</v>
      </c>
      <c r="J19" s="33">
        <f>E19*I19</f>
        <v>3984</v>
      </c>
      <c r="K19" s="262"/>
      <c r="L19" s="34">
        <v>0.2</v>
      </c>
      <c r="M19" s="4">
        <v>12</v>
      </c>
      <c r="N19" s="258"/>
      <c r="O19" s="255"/>
      <c r="P19" s="255"/>
    </row>
    <row r="20" spans="1:16" ht="12.75">
      <c r="A20" s="130"/>
      <c r="B20" s="130"/>
      <c r="C20" s="130"/>
      <c r="D20" s="65"/>
      <c r="E20" s="65"/>
      <c r="F20" s="65"/>
      <c r="G20" s="65"/>
      <c r="H20" s="65"/>
      <c r="I20" s="65"/>
      <c r="J20" s="65"/>
      <c r="K20" s="92"/>
      <c r="L20" s="65"/>
      <c r="M20" s="65"/>
      <c r="N20" s="65"/>
      <c r="O20" s="65"/>
      <c r="P20" s="65"/>
    </row>
    <row r="21" spans="1:16" ht="38.25">
      <c r="A21" s="213" t="s">
        <v>114</v>
      </c>
      <c r="B21" s="253">
        <v>7</v>
      </c>
      <c r="C21" s="136" t="s">
        <v>83</v>
      </c>
      <c r="D21" s="32" t="s">
        <v>41</v>
      </c>
      <c r="E21" s="8">
        <v>12</v>
      </c>
      <c r="F21" s="251">
        <f>349*12+193*24</f>
        <v>8820</v>
      </c>
      <c r="G21" s="244" t="s">
        <v>164</v>
      </c>
      <c r="H21" s="10" t="s">
        <v>162</v>
      </c>
      <c r="I21" s="7">
        <v>182.4</v>
      </c>
      <c r="J21" s="7">
        <f>E21*I21</f>
        <v>2188.8</v>
      </c>
      <c r="K21" s="243">
        <f>J21+J22</f>
        <v>5184</v>
      </c>
      <c r="L21" s="37">
        <v>0.2</v>
      </c>
      <c r="M21" s="10">
        <v>3</v>
      </c>
      <c r="N21" s="242">
        <v>40</v>
      </c>
      <c r="O21" s="245">
        <f>50*5184/5184</f>
        <v>50</v>
      </c>
      <c r="P21" s="245">
        <f>SUM(N21:O21)</f>
        <v>90</v>
      </c>
    </row>
    <row r="22" spans="1:16" ht="38.25">
      <c r="A22" s="213" t="s">
        <v>118</v>
      </c>
      <c r="B22" s="253"/>
      <c r="C22" s="136" t="s">
        <v>84</v>
      </c>
      <c r="D22" s="32" t="s">
        <v>63</v>
      </c>
      <c r="E22" s="8">
        <v>24</v>
      </c>
      <c r="F22" s="251"/>
      <c r="G22" s="261"/>
      <c r="H22" s="10" t="s">
        <v>163</v>
      </c>
      <c r="I22" s="7">
        <v>124.8</v>
      </c>
      <c r="J22" s="7">
        <f>E22*I22</f>
        <v>2995.2</v>
      </c>
      <c r="K22" s="243"/>
      <c r="L22" s="37">
        <v>0.2</v>
      </c>
      <c r="M22" s="10">
        <v>12</v>
      </c>
      <c r="N22" s="242"/>
      <c r="O22" s="245"/>
      <c r="P22" s="245"/>
    </row>
    <row r="23" ht="12.75">
      <c r="K23" s="81">
        <f>SUM(K3:K22)</f>
        <v>41180.4</v>
      </c>
    </row>
  </sheetData>
  <sheetProtection/>
  <mergeCells count="52">
    <mergeCell ref="N15:N16"/>
    <mergeCell ref="P15:P16"/>
    <mergeCell ref="O15:O16"/>
    <mergeCell ref="F21:F22"/>
    <mergeCell ref="G21:G22"/>
    <mergeCell ref="O21:O22"/>
    <mergeCell ref="P21:P22"/>
    <mergeCell ref="N18:N19"/>
    <mergeCell ref="O18:O19"/>
    <mergeCell ref="P18:P19"/>
    <mergeCell ref="B21:B22"/>
    <mergeCell ref="N21:N22"/>
    <mergeCell ref="K21:K22"/>
    <mergeCell ref="B18:B19"/>
    <mergeCell ref="F18:F19"/>
    <mergeCell ref="B15:B16"/>
    <mergeCell ref="F15:F16"/>
    <mergeCell ref="K18:K19"/>
    <mergeCell ref="G18:G19"/>
    <mergeCell ref="K15:K16"/>
    <mergeCell ref="G15:G16"/>
    <mergeCell ref="Q3:T4"/>
    <mergeCell ref="Q6:T7"/>
    <mergeCell ref="Q9:T10"/>
    <mergeCell ref="B12:B13"/>
    <mergeCell ref="F12:F13"/>
    <mergeCell ref="B3:B4"/>
    <mergeCell ref="B6:B7"/>
    <mergeCell ref="B9:B10"/>
    <mergeCell ref="F3:F4"/>
    <mergeCell ref="F6:F7"/>
    <mergeCell ref="N12:N13"/>
    <mergeCell ref="F9:F10"/>
    <mergeCell ref="K3:K4"/>
    <mergeCell ref="K9:K10"/>
    <mergeCell ref="K6:K7"/>
    <mergeCell ref="G12:G13"/>
    <mergeCell ref="K12:K13"/>
    <mergeCell ref="G3:G4"/>
    <mergeCell ref="G6:G7"/>
    <mergeCell ref="G9:G10"/>
    <mergeCell ref="N3:N4"/>
    <mergeCell ref="N6:N7"/>
    <mergeCell ref="N9:N10"/>
    <mergeCell ref="O6:O7"/>
    <mergeCell ref="P6:P7"/>
    <mergeCell ref="O3:O4"/>
    <mergeCell ref="P3:P4"/>
    <mergeCell ref="O12:O13"/>
    <mergeCell ref="P12:P13"/>
    <mergeCell ref="O9:O10"/>
    <mergeCell ref="P9:P10"/>
  </mergeCells>
  <printOptions/>
  <pageMargins left="0.41" right="0.17" top="0.41" bottom="0.45" header="0.17" footer="0.17"/>
  <pageSetup fitToHeight="1" fitToWidth="1" horizontalDpi="600" verticalDpi="600" orientation="landscape" paperSize="9" scale="75" r:id="rId1"/>
  <headerFooter alignWithMargins="0">
    <oddHeader>&amp;CQUADRO RIEPILOGATIVO DI AGGIUDICAZIONE Suturatrici Laparoscopia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="75" zoomScaleNormal="75" workbookViewId="0" topLeftCell="E1">
      <selection activeCell="Q10" sqref="Q10"/>
    </sheetView>
  </sheetViews>
  <sheetFormatPr defaultColWidth="9.140625" defaultRowHeight="12.75"/>
  <cols>
    <col min="1" max="1" width="13.140625" style="3" customWidth="1"/>
    <col min="2" max="2" width="4.8515625" style="127" customWidth="1"/>
    <col min="3" max="3" width="5.28125" style="93" customWidth="1"/>
    <col min="4" max="4" width="64.7109375" style="114" customWidth="1"/>
    <col min="5" max="5" width="7.7109375" style="3" customWidth="1"/>
    <col min="6" max="6" width="12.57421875" style="94" customWidth="1"/>
    <col min="7" max="7" width="13.7109375" style="94" customWidth="1"/>
    <col min="8" max="8" width="11.421875" style="3" customWidth="1"/>
    <col min="9" max="9" width="10.8515625" style="3" customWidth="1"/>
    <col min="10" max="10" width="14.421875" style="3" customWidth="1"/>
    <col min="11" max="11" width="14.421875" style="106" customWidth="1"/>
    <col min="12" max="12" width="5.28125" style="95" customWidth="1"/>
    <col min="13" max="13" width="8.140625" style="3" customWidth="1"/>
    <col min="14" max="14" width="6.140625" style="3" customWidth="1"/>
    <col min="15" max="15" width="6.421875" style="96" customWidth="1"/>
    <col min="16" max="16" width="9.28125" style="96" customWidth="1"/>
    <col min="17" max="16384" width="9.140625" style="3" customWidth="1"/>
  </cols>
  <sheetData>
    <row r="1" ht="12.75">
      <c r="D1" s="110"/>
    </row>
    <row r="2" spans="1:17" ht="63.75">
      <c r="A2" s="27" t="s">
        <v>112</v>
      </c>
      <c r="B2" s="27" t="s">
        <v>81</v>
      </c>
      <c r="C2" s="27" t="s">
        <v>82</v>
      </c>
      <c r="D2" s="27" t="s">
        <v>147</v>
      </c>
      <c r="E2" s="27" t="s">
        <v>146</v>
      </c>
      <c r="F2" s="6" t="s">
        <v>148</v>
      </c>
      <c r="G2" s="6" t="s">
        <v>155</v>
      </c>
      <c r="H2" s="40" t="s">
        <v>143</v>
      </c>
      <c r="I2" s="40" t="s">
        <v>150</v>
      </c>
      <c r="J2" s="40" t="s">
        <v>149</v>
      </c>
      <c r="K2" s="90" t="s">
        <v>151</v>
      </c>
      <c r="L2" s="41" t="s">
        <v>144</v>
      </c>
      <c r="M2" s="40" t="s">
        <v>145</v>
      </c>
      <c r="N2" s="40" t="s">
        <v>152</v>
      </c>
      <c r="O2" s="42" t="s">
        <v>153</v>
      </c>
      <c r="P2" s="42" t="s">
        <v>154</v>
      </c>
      <c r="Q2" s="15"/>
    </row>
    <row r="3" spans="1:16" ht="25.5">
      <c r="A3" s="27" t="s">
        <v>114</v>
      </c>
      <c r="B3" s="277">
        <v>8</v>
      </c>
      <c r="C3" s="89" t="s">
        <v>83</v>
      </c>
      <c r="D3" s="113" t="s">
        <v>20</v>
      </c>
      <c r="E3" s="27">
        <v>6</v>
      </c>
      <c r="F3" s="278">
        <f>349*6+193*12</f>
        <v>4410</v>
      </c>
      <c r="G3" s="276" t="s">
        <v>164</v>
      </c>
      <c r="H3" s="98" t="s">
        <v>165</v>
      </c>
      <c r="I3" s="99">
        <v>182.4</v>
      </c>
      <c r="J3" s="99">
        <f>E3*I3</f>
        <v>1094.4</v>
      </c>
      <c r="K3" s="275">
        <f>J3+J4</f>
        <v>2592</v>
      </c>
      <c r="L3" s="100">
        <v>0.2</v>
      </c>
      <c r="M3" s="98">
        <v>3</v>
      </c>
      <c r="N3" s="273">
        <v>40</v>
      </c>
      <c r="O3" s="274">
        <f>50*2592/2592</f>
        <v>50</v>
      </c>
      <c r="P3" s="274">
        <f>SUM(N3:O3)</f>
        <v>90</v>
      </c>
    </row>
    <row r="4" spans="1:16" ht="25.5">
      <c r="A4" s="27" t="s">
        <v>118</v>
      </c>
      <c r="B4" s="277"/>
      <c r="C4" s="89" t="s">
        <v>84</v>
      </c>
      <c r="D4" s="113" t="s">
        <v>19</v>
      </c>
      <c r="E4" s="27">
        <v>12</v>
      </c>
      <c r="F4" s="278"/>
      <c r="G4" s="276"/>
      <c r="H4" s="98" t="s">
        <v>166</v>
      </c>
      <c r="I4" s="99">
        <v>124.8</v>
      </c>
      <c r="J4" s="99">
        <f>E4*I4</f>
        <v>1497.6</v>
      </c>
      <c r="K4" s="275"/>
      <c r="L4" s="100">
        <v>0.2</v>
      </c>
      <c r="M4" s="98">
        <v>12</v>
      </c>
      <c r="N4" s="273"/>
      <c r="O4" s="274"/>
      <c r="P4" s="274"/>
    </row>
    <row r="5" spans="1:16" s="15" customFormat="1" ht="9" customHeight="1">
      <c r="A5" s="65"/>
      <c r="B5" s="130"/>
      <c r="C5" s="130"/>
      <c r="D5" s="112"/>
      <c r="E5" s="65"/>
      <c r="F5" s="108"/>
      <c r="G5" s="65"/>
      <c r="H5" s="65"/>
      <c r="I5" s="65"/>
      <c r="J5" s="65"/>
      <c r="K5" s="92"/>
      <c r="L5" s="65"/>
      <c r="M5" s="65"/>
      <c r="N5" s="65"/>
      <c r="O5" s="109"/>
      <c r="P5" s="109"/>
    </row>
    <row r="6" spans="1:16" ht="25.5">
      <c r="A6" s="27" t="s">
        <v>114</v>
      </c>
      <c r="B6" s="277">
        <v>9</v>
      </c>
      <c r="C6" s="89" t="s">
        <v>83</v>
      </c>
      <c r="D6" s="113" t="s">
        <v>44</v>
      </c>
      <c r="E6" s="27">
        <v>12</v>
      </c>
      <c r="F6" s="278">
        <f>12*419+30*265</f>
        <v>12978</v>
      </c>
      <c r="G6" s="276" t="s">
        <v>164</v>
      </c>
      <c r="H6" s="98" t="s">
        <v>167</v>
      </c>
      <c r="I6" s="99">
        <v>182.4</v>
      </c>
      <c r="J6" s="99">
        <f>E6*I6</f>
        <v>2188.8</v>
      </c>
      <c r="K6" s="275">
        <f>J6+J7</f>
        <v>6508.8</v>
      </c>
      <c r="L6" s="100">
        <v>0.2</v>
      </c>
      <c r="M6" s="98">
        <v>3</v>
      </c>
      <c r="N6" s="273">
        <v>40</v>
      </c>
      <c r="O6" s="274">
        <f>50*6508.8/6508.8</f>
        <v>50</v>
      </c>
      <c r="P6" s="274">
        <f>SUM(N6:O6)</f>
        <v>90</v>
      </c>
    </row>
    <row r="7" spans="1:16" ht="25.5">
      <c r="A7" s="27" t="s">
        <v>118</v>
      </c>
      <c r="B7" s="277"/>
      <c r="C7" s="89" t="s">
        <v>84</v>
      </c>
      <c r="D7" s="113" t="s">
        <v>45</v>
      </c>
      <c r="E7" s="27">
        <v>30</v>
      </c>
      <c r="F7" s="278"/>
      <c r="G7" s="276"/>
      <c r="H7" s="98" t="s">
        <v>168</v>
      </c>
      <c r="I7" s="99">
        <v>144</v>
      </c>
      <c r="J7" s="99">
        <f>E7*I7</f>
        <v>4320</v>
      </c>
      <c r="K7" s="275"/>
      <c r="L7" s="100">
        <v>0.2</v>
      </c>
      <c r="M7" s="98">
        <v>12</v>
      </c>
      <c r="N7" s="273"/>
      <c r="O7" s="274"/>
      <c r="P7" s="274"/>
    </row>
    <row r="8" spans="1:17" s="15" customFormat="1" ht="9" customHeight="1" thickBot="1">
      <c r="A8" s="65"/>
      <c r="B8" s="130"/>
      <c r="C8" s="130"/>
      <c r="D8" s="112"/>
      <c r="E8" s="65"/>
      <c r="F8" s="108"/>
      <c r="G8" s="65"/>
      <c r="H8" s="65"/>
      <c r="I8" s="65"/>
      <c r="J8" s="65"/>
      <c r="K8" s="92"/>
      <c r="L8" s="65"/>
      <c r="M8" s="65"/>
      <c r="N8" s="65"/>
      <c r="O8" s="109"/>
      <c r="P8" s="109"/>
      <c r="Q8" s="115"/>
    </row>
    <row r="9" spans="1:16" ht="25.5">
      <c r="A9" s="97" t="s">
        <v>114</v>
      </c>
      <c r="B9" s="277">
        <v>10</v>
      </c>
      <c r="C9" s="89" t="s">
        <v>83</v>
      </c>
      <c r="D9" s="113" t="s">
        <v>46</v>
      </c>
      <c r="E9" s="27">
        <v>12</v>
      </c>
      <c r="F9" s="278">
        <f>12*419+24*265</f>
        <v>11388</v>
      </c>
      <c r="G9" s="276" t="s">
        <v>164</v>
      </c>
      <c r="H9" s="98" t="s">
        <v>169</v>
      </c>
      <c r="I9" s="99">
        <v>182.4</v>
      </c>
      <c r="J9" s="99">
        <f>E9*I9</f>
        <v>2188.8</v>
      </c>
      <c r="K9" s="275">
        <f>J9+J10</f>
        <v>5644.8</v>
      </c>
      <c r="L9" s="100">
        <v>0.2</v>
      </c>
      <c r="M9" s="98">
        <v>3</v>
      </c>
      <c r="N9" s="246">
        <v>40</v>
      </c>
      <c r="O9" s="248">
        <f>50*5644.8/5644.8</f>
        <v>50</v>
      </c>
      <c r="P9" s="248">
        <f>SUM(N9:O9)</f>
        <v>90</v>
      </c>
    </row>
    <row r="10" spans="1:16" ht="26.25" thickBot="1">
      <c r="A10" s="101" t="s">
        <v>118</v>
      </c>
      <c r="B10" s="277"/>
      <c r="C10" s="89" t="s">
        <v>84</v>
      </c>
      <c r="D10" s="113" t="s">
        <v>47</v>
      </c>
      <c r="E10" s="27">
        <v>24</v>
      </c>
      <c r="F10" s="278"/>
      <c r="G10" s="276"/>
      <c r="H10" s="98" t="s">
        <v>170</v>
      </c>
      <c r="I10" s="99">
        <v>144</v>
      </c>
      <c r="J10" s="99">
        <f>E10*I10</f>
        <v>3456</v>
      </c>
      <c r="K10" s="275"/>
      <c r="L10" s="100">
        <v>0.2</v>
      </c>
      <c r="M10" s="98">
        <v>12</v>
      </c>
      <c r="N10" s="247"/>
      <c r="O10" s="272"/>
      <c r="P10" s="272"/>
    </row>
    <row r="11" spans="1:16" s="15" customFormat="1" ht="9" customHeight="1">
      <c r="A11" s="65"/>
      <c r="B11" s="130"/>
      <c r="C11" s="130"/>
      <c r="D11" s="112"/>
      <c r="E11" s="65"/>
      <c r="F11" s="108"/>
      <c r="G11" s="65"/>
      <c r="H11" s="65"/>
      <c r="I11" s="65"/>
      <c r="J11" s="65"/>
      <c r="K11" s="92"/>
      <c r="L11" s="65"/>
      <c r="M11" s="65"/>
      <c r="N11" s="65"/>
      <c r="O11" s="109"/>
      <c r="P11" s="109"/>
    </row>
    <row r="12" spans="1:16" ht="25.5">
      <c r="A12" s="27" t="s">
        <v>114</v>
      </c>
      <c r="B12" s="277">
        <v>11</v>
      </c>
      <c r="C12" s="27" t="s">
        <v>83</v>
      </c>
      <c r="D12" s="113" t="s">
        <v>89</v>
      </c>
      <c r="E12" s="27">
        <v>6</v>
      </c>
      <c r="F12" s="278">
        <f>6*529+12*288</f>
        <v>6630</v>
      </c>
      <c r="G12" s="279" t="s">
        <v>176</v>
      </c>
      <c r="H12" s="27" t="s">
        <v>181</v>
      </c>
      <c r="I12" s="121">
        <v>373</v>
      </c>
      <c r="J12" s="121">
        <f>E12*I12</f>
        <v>2238</v>
      </c>
      <c r="K12" s="280">
        <f>J12+J13</f>
        <v>4890</v>
      </c>
      <c r="L12" s="122">
        <v>0.2</v>
      </c>
      <c r="M12" s="27">
        <v>3</v>
      </c>
      <c r="N12" s="273">
        <v>42</v>
      </c>
      <c r="O12" s="274">
        <v>50</v>
      </c>
      <c r="P12" s="274">
        <v>92</v>
      </c>
    </row>
    <row r="13" spans="1:16" ht="25.5">
      <c r="A13" s="27" t="s">
        <v>118</v>
      </c>
      <c r="B13" s="277"/>
      <c r="C13" s="27" t="s">
        <v>84</v>
      </c>
      <c r="D13" s="113" t="s">
        <v>90</v>
      </c>
      <c r="E13" s="27">
        <v>12</v>
      </c>
      <c r="F13" s="278"/>
      <c r="G13" s="279"/>
      <c r="H13" s="27" t="s">
        <v>182</v>
      </c>
      <c r="I13" s="121">
        <v>221</v>
      </c>
      <c r="J13" s="121">
        <f>E13*I13</f>
        <v>2652</v>
      </c>
      <c r="K13" s="280"/>
      <c r="L13" s="122">
        <v>0.2</v>
      </c>
      <c r="M13" s="27">
        <v>12</v>
      </c>
      <c r="N13" s="273"/>
      <c r="O13" s="274"/>
      <c r="P13" s="274"/>
    </row>
    <row r="14" spans="1:17" ht="9" customHeight="1">
      <c r="A14" s="65"/>
      <c r="B14" s="130"/>
      <c r="C14" s="65"/>
      <c r="D14" s="112"/>
      <c r="E14" s="65"/>
      <c r="F14" s="108"/>
      <c r="G14" s="65"/>
      <c r="H14" s="65"/>
      <c r="I14" s="65"/>
      <c r="J14" s="65"/>
      <c r="K14" s="92"/>
      <c r="L14" s="65"/>
      <c r="M14" s="65"/>
      <c r="N14" s="65"/>
      <c r="O14" s="109"/>
      <c r="P14" s="109"/>
      <c r="Q14" s="118"/>
    </row>
    <row r="15" spans="1:16" ht="25.5">
      <c r="A15" s="27" t="s">
        <v>114</v>
      </c>
      <c r="B15" s="277">
        <v>12</v>
      </c>
      <c r="C15" s="27" t="s">
        <v>83</v>
      </c>
      <c r="D15" s="113" t="s">
        <v>10</v>
      </c>
      <c r="E15" s="27">
        <v>9</v>
      </c>
      <c r="F15" s="278">
        <f>9*529+12*288</f>
        <v>8217</v>
      </c>
      <c r="G15" s="279" t="s">
        <v>176</v>
      </c>
      <c r="H15" s="27" t="s">
        <v>183</v>
      </c>
      <c r="I15" s="121">
        <v>479</v>
      </c>
      <c r="J15" s="121">
        <f>E15*I15</f>
        <v>4311</v>
      </c>
      <c r="K15" s="280">
        <f>J15+J16</f>
        <v>7503</v>
      </c>
      <c r="L15" s="122">
        <v>0.2</v>
      </c>
      <c r="M15" s="27">
        <v>3</v>
      </c>
      <c r="N15" s="273">
        <v>42</v>
      </c>
      <c r="O15" s="274">
        <f>50*7503/7503</f>
        <v>50</v>
      </c>
      <c r="P15" s="274">
        <f>SUM(N15:O15)</f>
        <v>92</v>
      </c>
    </row>
    <row r="16" spans="1:16" ht="25.5">
      <c r="A16" s="27" t="s">
        <v>118</v>
      </c>
      <c r="B16" s="277"/>
      <c r="C16" s="27" t="s">
        <v>84</v>
      </c>
      <c r="D16" s="113" t="s">
        <v>11</v>
      </c>
      <c r="E16" s="27">
        <v>12</v>
      </c>
      <c r="F16" s="278"/>
      <c r="G16" s="279"/>
      <c r="H16" s="27" t="s">
        <v>184</v>
      </c>
      <c r="I16" s="121">
        <v>266</v>
      </c>
      <c r="J16" s="121">
        <f>E16*I16</f>
        <v>3192</v>
      </c>
      <c r="K16" s="280"/>
      <c r="L16" s="122">
        <v>0.2</v>
      </c>
      <c r="M16" s="27">
        <v>12</v>
      </c>
      <c r="N16" s="273"/>
      <c r="O16" s="274"/>
      <c r="P16" s="274"/>
    </row>
    <row r="17" spans="1:16" ht="9" customHeight="1">
      <c r="A17" s="65"/>
      <c r="B17" s="130"/>
      <c r="C17" s="65"/>
      <c r="D17" s="112"/>
      <c r="E17" s="65"/>
      <c r="F17" s="108"/>
      <c r="G17" s="65"/>
      <c r="H17" s="65"/>
      <c r="I17" s="65"/>
      <c r="J17" s="65"/>
      <c r="K17" s="92"/>
      <c r="L17" s="65"/>
      <c r="M17" s="65"/>
      <c r="N17" s="65"/>
      <c r="O17" s="109"/>
      <c r="P17" s="109"/>
    </row>
    <row r="18" spans="1:16" ht="25.5">
      <c r="A18" s="27" t="s">
        <v>114</v>
      </c>
      <c r="B18" s="277">
        <v>13</v>
      </c>
      <c r="C18" s="27" t="s">
        <v>83</v>
      </c>
      <c r="D18" s="113" t="s">
        <v>12</v>
      </c>
      <c r="E18" s="27">
        <v>6</v>
      </c>
      <c r="F18" s="278">
        <f>6*529+12*288</f>
        <v>6630</v>
      </c>
      <c r="G18" s="279" t="s">
        <v>176</v>
      </c>
      <c r="H18" s="27" t="s">
        <v>185</v>
      </c>
      <c r="I18" s="121">
        <v>479</v>
      </c>
      <c r="J18" s="121">
        <f>E18*I18</f>
        <v>2874</v>
      </c>
      <c r="K18" s="280">
        <f>J18+J19</f>
        <v>6066</v>
      </c>
      <c r="L18" s="122">
        <v>0.2</v>
      </c>
      <c r="M18" s="27">
        <v>3</v>
      </c>
      <c r="N18" s="273">
        <v>42</v>
      </c>
      <c r="O18" s="274">
        <f>50*6066/6066</f>
        <v>50</v>
      </c>
      <c r="P18" s="274">
        <f>SUM(N18:O18)</f>
        <v>92</v>
      </c>
    </row>
    <row r="19" spans="1:16" ht="25.5">
      <c r="A19" s="27" t="s">
        <v>118</v>
      </c>
      <c r="B19" s="277"/>
      <c r="C19" s="27" t="s">
        <v>84</v>
      </c>
      <c r="D19" s="113" t="s">
        <v>13</v>
      </c>
      <c r="E19" s="27">
        <v>12</v>
      </c>
      <c r="F19" s="278"/>
      <c r="G19" s="279"/>
      <c r="H19" s="27" t="s">
        <v>186</v>
      </c>
      <c r="I19" s="121">
        <v>266</v>
      </c>
      <c r="J19" s="121">
        <f>E19*I19</f>
        <v>3192</v>
      </c>
      <c r="K19" s="280"/>
      <c r="L19" s="122">
        <v>0.2</v>
      </c>
      <c r="M19" s="27">
        <v>12</v>
      </c>
      <c r="N19" s="273"/>
      <c r="O19" s="274"/>
      <c r="P19" s="274"/>
    </row>
    <row r="20" spans="1:16" ht="9" customHeight="1">
      <c r="A20" s="65"/>
      <c r="B20" s="130"/>
      <c r="C20" s="65"/>
      <c r="D20" s="112"/>
      <c r="E20" s="65"/>
      <c r="F20" s="108"/>
      <c r="G20" s="65"/>
      <c r="H20" s="65"/>
      <c r="I20" s="65"/>
      <c r="J20" s="65"/>
      <c r="K20" s="92"/>
      <c r="L20" s="65"/>
      <c r="M20" s="65"/>
      <c r="N20" s="65"/>
      <c r="O20" s="109"/>
      <c r="P20" s="109"/>
    </row>
    <row r="21" spans="1:16" ht="38.25">
      <c r="A21" s="27"/>
      <c r="B21" s="89">
        <v>14</v>
      </c>
      <c r="C21" s="27" t="s">
        <v>83</v>
      </c>
      <c r="D21" s="113" t="s">
        <v>69</v>
      </c>
      <c r="E21" s="27">
        <v>6</v>
      </c>
      <c r="F21" s="6">
        <v>1680</v>
      </c>
      <c r="G21" s="27" t="s">
        <v>211</v>
      </c>
      <c r="H21" s="31" t="s">
        <v>214</v>
      </c>
      <c r="I21" s="125">
        <v>271.6</v>
      </c>
      <c r="J21" s="125">
        <v>1629.6</v>
      </c>
      <c r="K21" s="129">
        <v>1629.6</v>
      </c>
      <c r="L21" s="126">
        <v>0.2</v>
      </c>
      <c r="M21" s="31">
        <v>6</v>
      </c>
      <c r="N21" s="27">
        <v>41</v>
      </c>
      <c r="O21" s="42">
        <v>50</v>
      </c>
      <c r="P21" s="42">
        <v>91</v>
      </c>
    </row>
    <row r="22" spans="1:16" ht="9" customHeight="1">
      <c r="A22" s="65"/>
      <c r="B22" s="130"/>
      <c r="C22" s="65"/>
      <c r="D22" s="112"/>
      <c r="E22" s="65"/>
      <c r="F22" s="108"/>
      <c r="G22" s="65"/>
      <c r="H22" s="65"/>
      <c r="I22" s="65"/>
      <c r="J22" s="65"/>
      <c r="K22" s="92"/>
      <c r="L22" s="65"/>
      <c r="M22" s="65"/>
      <c r="N22" s="65"/>
      <c r="O22" s="109"/>
      <c r="P22" s="109"/>
    </row>
    <row r="23" spans="1:16" ht="25.5">
      <c r="A23" s="27" t="s">
        <v>122</v>
      </c>
      <c r="B23" s="277">
        <v>15</v>
      </c>
      <c r="C23" s="27" t="s">
        <v>83</v>
      </c>
      <c r="D23" s="113" t="s">
        <v>119</v>
      </c>
      <c r="E23" s="27">
        <v>9</v>
      </c>
      <c r="F23" s="278">
        <f>(9*546)+(24*546)+(12*546)</f>
        <v>24570</v>
      </c>
      <c r="G23" s="279" t="s">
        <v>176</v>
      </c>
      <c r="H23" s="27" t="s">
        <v>187</v>
      </c>
      <c r="I23" s="121">
        <v>513</v>
      </c>
      <c r="J23" s="121">
        <f>E23*I23</f>
        <v>4617</v>
      </c>
      <c r="K23" s="280">
        <f>J23+J24+J25</f>
        <v>24489</v>
      </c>
      <c r="L23" s="122">
        <v>0.2</v>
      </c>
      <c r="M23" s="27">
        <v>3</v>
      </c>
      <c r="N23" s="273">
        <v>42</v>
      </c>
      <c r="O23" s="274">
        <v>50</v>
      </c>
      <c r="P23" s="274">
        <v>92</v>
      </c>
    </row>
    <row r="24" spans="1:16" ht="25.5">
      <c r="A24" s="27" t="s">
        <v>122</v>
      </c>
      <c r="B24" s="277"/>
      <c r="C24" s="27" t="s">
        <v>84</v>
      </c>
      <c r="D24" s="113" t="s">
        <v>120</v>
      </c>
      <c r="E24" s="27">
        <v>24</v>
      </c>
      <c r="F24" s="278"/>
      <c r="G24" s="279"/>
      <c r="H24" s="27" t="s">
        <v>188</v>
      </c>
      <c r="I24" s="121">
        <v>552</v>
      </c>
      <c r="J24" s="121">
        <f>E24*I24</f>
        <v>13248</v>
      </c>
      <c r="K24" s="280"/>
      <c r="L24" s="122">
        <v>0.2</v>
      </c>
      <c r="M24" s="27">
        <v>3</v>
      </c>
      <c r="N24" s="273"/>
      <c r="O24" s="274"/>
      <c r="P24" s="274"/>
    </row>
    <row r="25" spans="1:16" ht="25.5">
      <c r="A25" s="27" t="s">
        <v>122</v>
      </c>
      <c r="B25" s="277"/>
      <c r="C25" s="27" t="s">
        <v>85</v>
      </c>
      <c r="D25" s="113" t="s">
        <v>121</v>
      </c>
      <c r="E25" s="27">
        <v>12</v>
      </c>
      <c r="F25" s="278"/>
      <c r="G25" s="279"/>
      <c r="H25" s="27" t="s">
        <v>189</v>
      </c>
      <c r="I25" s="121">
        <v>552</v>
      </c>
      <c r="J25" s="121">
        <f>E25*I25</f>
        <v>6624</v>
      </c>
      <c r="K25" s="280"/>
      <c r="L25" s="122">
        <v>0.2</v>
      </c>
      <c r="M25" s="27">
        <v>3</v>
      </c>
      <c r="N25" s="273"/>
      <c r="O25" s="274"/>
      <c r="P25" s="274"/>
    </row>
    <row r="26" ht="12.75">
      <c r="K26" s="106">
        <f>SUM(K3:K25)</f>
        <v>59323.2</v>
      </c>
    </row>
  </sheetData>
  <sheetProtection/>
  <mergeCells count="49">
    <mergeCell ref="K18:K19"/>
    <mergeCell ref="G23:G25"/>
    <mergeCell ref="K23:K25"/>
    <mergeCell ref="G18:G19"/>
    <mergeCell ref="G12:G13"/>
    <mergeCell ref="K12:K13"/>
    <mergeCell ref="G15:G16"/>
    <mergeCell ref="K15:K16"/>
    <mergeCell ref="B23:B25"/>
    <mergeCell ref="F23:F25"/>
    <mergeCell ref="B12:B13"/>
    <mergeCell ref="B18:B19"/>
    <mergeCell ref="F12:F13"/>
    <mergeCell ref="B15:B16"/>
    <mergeCell ref="F15:F16"/>
    <mergeCell ref="F18:F19"/>
    <mergeCell ref="N12:N13"/>
    <mergeCell ref="O12:O13"/>
    <mergeCell ref="P12:P13"/>
    <mergeCell ref="O15:O16"/>
    <mergeCell ref="P15:P16"/>
    <mergeCell ref="N15:N16"/>
    <mergeCell ref="N23:N25"/>
    <mergeCell ref="O23:O25"/>
    <mergeCell ref="P23:P25"/>
    <mergeCell ref="N18:N19"/>
    <mergeCell ref="O18:O19"/>
    <mergeCell ref="P18:P19"/>
    <mergeCell ref="B9:B10"/>
    <mergeCell ref="F9:F10"/>
    <mergeCell ref="K9:K10"/>
    <mergeCell ref="G9:G10"/>
    <mergeCell ref="G3:G4"/>
    <mergeCell ref="K6:K7"/>
    <mergeCell ref="G6:G7"/>
    <mergeCell ref="B3:B4"/>
    <mergeCell ref="B6:B7"/>
    <mergeCell ref="F3:F4"/>
    <mergeCell ref="F6:F7"/>
    <mergeCell ref="N3:N4"/>
    <mergeCell ref="O3:O4"/>
    <mergeCell ref="P3:P4"/>
    <mergeCell ref="K3:K4"/>
    <mergeCell ref="N9:N10"/>
    <mergeCell ref="O9:O10"/>
    <mergeCell ref="P9:P10"/>
    <mergeCell ref="N6:N7"/>
    <mergeCell ref="O6:O7"/>
    <mergeCell ref="P6:P7"/>
  </mergeCells>
  <printOptions horizontalCentered="1"/>
  <pageMargins left="0.3937007874015748" right="0.15748031496062992" top="0.35433070866141736" bottom="0.1968503937007874" header="0.1968503937007874" footer="0.1968503937007874"/>
  <pageSetup fitToHeight="1" fitToWidth="1" horizontalDpi="600" verticalDpi="600" orientation="landscape" paperSize="9" scale="69" r:id="rId1"/>
  <headerFooter alignWithMargins="0">
    <oddHeader>&amp;C
&amp;R&amp;F</oddHeader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zoomScale="75" zoomScaleNormal="75" workbookViewId="0" topLeftCell="A2">
      <pane xSplit="3" topLeftCell="H1" activePane="topRight" state="frozen"/>
      <selection pane="topLeft" activeCell="A1" sqref="A1"/>
      <selection pane="topRight" activeCell="Q8" sqref="Q8:T13"/>
    </sheetView>
  </sheetViews>
  <sheetFormatPr defaultColWidth="9.140625" defaultRowHeight="12.75"/>
  <cols>
    <col min="1" max="1" width="12.57421875" style="3" customWidth="1"/>
    <col min="2" max="2" width="4.57421875" style="127" customWidth="1"/>
    <col min="3" max="3" width="5.28125" style="93" customWidth="1"/>
    <col min="4" max="4" width="53.140625" style="114" customWidth="1"/>
    <col min="5" max="5" width="8.421875" style="3" customWidth="1"/>
    <col min="6" max="6" width="11.8515625" style="94" customWidth="1"/>
    <col min="7" max="7" width="13.8515625" style="94" customWidth="1"/>
    <col min="8" max="8" width="10.28125" style="3" customWidth="1"/>
    <col min="9" max="9" width="9.7109375" style="3" customWidth="1"/>
    <col min="10" max="10" width="12.57421875" style="3" customWidth="1"/>
    <col min="11" max="11" width="14.421875" style="106" customWidth="1"/>
    <col min="12" max="12" width="5.28125" style="95" customWidth="1"/>
    <col min="13" max="13" width="6.28125" style="3" customWidth="1"/>
    <col min="14" max="14" width="6.140625" style="3" customWidth="1"/>
    <col min="15" max="15" width="6.00390625" style="96" customWidth="1"/>
    <col min="16" max="16" width="9.421875" style="96" customWidth="1"/>
    <col min="17" max="16384" width="9.140625" style="3" customWidth="1"/>
  </cols>
  <sheetData>
    <row r="1" spans="1:16" s="27" customFormat="1" ht="63.75">
      <c r="A1" s="27" t="s">
        <v>112</v>
      </c>
      <c r="B1" s="27" t="s">
        <v>81</v>
      </c>
      <c r="C1" s="27" t="s">
        <v>82</v>
      </c>
      <c r="D1" s="27" t="s">
        <v>147</v>
      </c>
      <c r="E1" s="27" t="s">
        <v>146</v>
      </c>
      <c r="F1" s="6" t="s">
        <v>148</v>
      </c>
      <c r="G1" s="6" t="s">
        <v>155</v>
      </c>
      <c r="H1" s="40" t="s">
        <v>143</v>
      </c>
      <c r="I1" s="40" t="s">
        <v>150</v>
      </c>
      <c r="J1" s="40" t="s">
        <v>149</v>
      </c>
      <c r="K1" s="90" t="s">
        <v>151</v>
      </c>
      <c r="L1" s="41" t="s">
        <v>144</v>
      </c>
      <c r="M1" s="40" t="s">
        <v>145</v>
      </c>
      <c r="N1" s="40" t="s">
        <v>152</v>
      </c>
      <c r="O1" s="42" t="s">
        <v>153</v>
      </c>
      <c r="P1" s="42" t="s">
        <v>154</v>
      </c>
    </row>
    <row r="2" spans="1:20" s="148" customFormat="1" ht="27" customHeight="1">
      <c r="A2" s="116"/>
      <c r="B2" s="131">
        <v>16</v>
      </c>
      <c r="C2" s="131" t="s">
        <v>83</v>
      </c>
      <c r="D2" s="237" t="s">
        <v>48</v>
      </c>
      <c r="E2" s="152">
        <v>24</v>
      </c>
      <c r="F2" s="117">
        <v>15600</v>
      </c>
      <c r="G2" s="102" t="s">
        <v>172</v>
      </c>
      <c r="H2" s="102" t="s">
        <v>171</v>
      </c>
      <c r="I2" s="153">
        <v>480</v>
      </c>
      <c r="J2" s="153">
        <f>E2*I2</f>
        <v>11520</v>
      </c>
      <c r="K2" s="154">
        <v>11520</v>
      </c>
      <c r="L2" s="128">
        <v>0.2</v>
      </c>
      <c r="M2" s="102">
        <v>3</v>
      </c>
      <c r="N2" s="102">
        <v>40</v>
      </c>
      <c r="O2" s="103">
        <f>50*11520/11520</f>
        <v>50</v>
      </c>
      <c r="P2" s="103">
        <f>SUM(N2:O2)</f>
        <v>90</v>
      </c>
      <c r="Q2" s="15"/>
      <c r="R2" s="15"/>
      <c r="S2" s="15"/>
      <c r="T2" s="15"/>
    </row>
    <row r="3" spans="1:16" s="15" customFormat="1" ht="8.25" customHeight="1" thickBot="1">
      <c r="A3" s="65"/>
      <c r="B3" s="130"/>
      <c r="C3" s="130"/>
      <c r="D3" s="112"/>
      <c r="E3" s="65"/>
      <c r="F3" s="108"/>
      <c r="G3" s="65"/>
      <c r="H3" s="65"/>
      <c r="I3" s="65"/>
      <c r="J3" s="65"/>
      <c r="K3" s="92"/>
      <c r="L3" s="65"/>
      <c r="M3" s="65"/>
      <c r="N3" s="65"/>
      <c r="O3" s="109"/>
      <c r="P3" s="109"/>
    </row>
    <row r="4" spans="1:16" ht="27" customHeight="1">
      <c r="A4" s="97" t="s">
        <v>122</v>
      </c>
      <c r="B4" s="283">
        <v>17</v>
      </c>
      <c r="C4" s="133" t="s">
        <v>83</v>
      </c>
      <c r="D4" s="238" t="s">
        <v>101</v>
      </c>
      <c r="E4" s="97">
        <v>6</v>
      </c>
      <c r="F4" s="285">
        <f>6*690+9*690+24*690</f>
        <v>26910</v>
      </c>
      <c r="G4" s="273" t="s">
        <v>211</v>
      </c>
      <c r="H4" s="31" t="s">
        <v>215</v>
      </c>
      <c r="I4" s="125">
        <v>655.5</v>
      </c>
      <c r="J4" s="125">
        <v>3933</v>
      </c>
      <c r="K4" s="291">
        <v>25564.5</v>
      </c>
      <c r="L4" s="126">
        <v>0.2</v>
      </c>
      <c r="M4" s="31">
        <v>3</v>
      </c>
      <c r="N4" s="246">
        <v>41</v>
      </c>
      <c r="O4" s="248">
        <v>50</v>
      </c>
      <c r="P4" s="248">
        <v>91</v>
      </c>
    </row>
    <row r="5" spans="1:16" ht="27" customHeight="1">
      <c r="A5" s="45" t="s">
        <v>122</v>
      </c>
      <c r="B5" s="277"/>
      <c r="C5" s="89" t="s">
        <v>84</v>
      </c>
      <c r="D5" s="239" t="s">
        <v>102</v>
      </c>
      <c r="E5" s="45">
        <v>9</v>
      </c>
      <c r="F5" s="286"/>
      <c r="G5" s="273"/>
      <c r="H5" s="31" t="s">
        <v>216</v>
      </c>
      <c r="I5" s="125">
        <v>655.5</v>
      </c>
      <c r="J5" s="125">
        <v>5899.5</v>
      </c>
      <c r="K5" s="291"/>
      <c r="L5" s="126">
        <v>0.2</v>
      </c>
      <c r="M5" s="31">
        <v>3</v>
      </c>
      <c r="N5" s="281"/>
      <c r="O5" s="282"/>
      <c r="P5" s="282"/>
    </row>
    <row r="6" spans="1:16" ht="27" customHeight="1" thickBot="1">
      <c r="A6" s="101" t="s">
        <v>122</v>
      </c>
      <c r="B6" s="284"/>
      <c r="C6" s="132" t="s">
        <v>85</v>
      </c>
      <c r="D6" s="240" t="s">
        <v>110</v>
      </c>
      <c r="E6" s="111">
        <v>24</v>
      </c>
      <c r="F6" s="287"/>
      <c r="G6" s="273"/>
      <c r="H6" s="31" t="s">
        <v>217</v>
      </c>
      <c r="I6" s="125">
        <v>655.5</v>
      </c>
      <c r="J6" s="125">
        <v>15732</v>
      </c>
      <c r="K6" s="291"/>
      <c r="L6" s="126">
        <v>0.2</v>
      </c>
      <c r="M6" s="31">
        <v>3</v>
      </c>
      <c r="N6" s="247"/>
      <c r="O6" s="272"/>
      <c r="P6" s="272"/>
    </row>
    <row r="7" spans="1:16" s="15" customFormat="1" ht="9" customHeight="1" thickBot="1">
      <c r="A7" s="65"/>
      <c r="B7" s="130"/>
      <c r="C7" s="130"/>
      <c r="D7" s="112"/>
      <c r="E7" s="65"/>
      <c r="F7" s="108"/>
      <c r="G7" s="65"/>
      <c r="H7" s="65"/>
      <c r="I7" s="65"/>
      <c r="J7" s="65"/>
      <c r="K7" s="92"/>
      <c r="L7" s="65"/>
      <c r="M7" s="65"/>
      <c r="N7" s="65"/>
      <c r="O7" s="109"/>
      <c r="P7" s="109"/>
    </row>
    <row r="8" spans="1:20" ht="27" customHeight="1" thickBot="1">
      <c r="A8" s="43"/>
      <c r="B8" s="155">
        <v>18</v>
      </c>
      <c r="C8" s="155" t="s">
        <v>83</v>
      </c>
      <c r="D8" s="241" t="s">
        <v>49</v>
      </c>
      <c r="E8" s="123">
        <v>6</v>
      </c>
      <c r="F8" s="124">
        <v>1794</v>
      </c>
      <c r="G8" s="27" t="s">
        <v>211</v>
      </c>
      <c r="H8" s="31" t="s">
        <v>218</v>
      </c>
      <c r="I8" s="31">
        <v>284.05</v>
      </c>
      <c r="J8" s="125">
        <v>1704.3</v>
      </c>
      <c r="K8" s="129">
        <v>1704.3</v>
      </c>
      <c r="L8" s="126">
        <v>0.2</v>
      </c>
      <c r="M8" s="31">
        <v>3</v>
      </c>
      <c r="N8" s="27">
        <v>42</v>
      </c>
      <c r="O8" s="42">
        <v>50</v>
      </c>
      <c r="P8" s="42">
        <v>92</v>
      </c>
      <c r="Q8" s="288"/>
      <c r="R8" s="289"/>
      <c r="S8" s="289"/>
      <c r="T8" s="290"/>
    </row>
    <row r="9" spans="1:20" s="15" customFormat="1" ht="9" customHeight="1" thickBot="1">
      <c r="A9" s="65"/>
      <c r="B9" s="130"/>
      <c r="C9" s="130"/>
      <c r="D9" s="112"/>
      <c r="E9" s="65"/>
      <c r="F9" s="108"/>
      <c r="G9" s="65"/>
      <c r="H9" s="65"/>
      <c r="I9" s="65"/>
      <c r="J9" s="65"/>
      <c r="K9" s="92"/>
      <c r="L9" s="65"/>
      <c r="M9" s="65"/>
      <c r="N9" s="65"/>
      <c r="O9" s="109"/>
      <c r="P9" s="109"/>
      <c r="Q9" s="149"/>
      <c r="R9" s="150"/>
      <c r="S9" s="150"/>
      <c r="T9" s="151"/>
    </row>
    <row r="10" spans="1:16" ht="27" customHeight="1">
      <c r="A10" s="97" t="s">
        <v>123</v>
      </c>
      <c r="B10" s="283">
        <v>19</v>
      </c>
      <c r="C10" s="133" t="s">
        <v>83</v>
      </c>
      <c r="D10" s="238" t="s">
        <v>50</v>
      </c>
      <c r="E10" s="97">
        <v>24</v>
      </c>
      <c r="F10" s="285">
        <f>24*140+24*143</f>
        <v>6792</v>
      </c>
      <c r="G10" s="273" t="s">
        <v>211</v>
      </c>
      <c r="H10" s="31" t="s">
        <v>219</v>
      </c>
      <c r="I10" s="125">
        <v>133</v>
      </c>
      <c r="J10" s="125">
        <v>3192</v>
      </c>
      <c r="K10" s="291">
        <v>6452.4</v>
      </c>
      <c r="L10" s="126">
        <v>0.2</v>
      </c>
      <c r="M10" s="31">
        <v>3</v>
      </c>
      <c r="N10" s="246">
        <v>42</v>
      </c>
      <c r="O10" s="248">
        <v>50</v>
      </c>
      <c r="P10" s="248">
        <v>92</v>
      </c>
    </row>
    <row r="11" spans="1:16" ht="27" customHeight="1" thickBot="1">
      <c r="A11" s="101" t="s">
        <v>123</v>
      </c>
      <c r="B11" s="284"/>
      <c r="C11" s="132" t="s">
        <v>84</v>
      </c>
      <c r="D11" s="240" t="s">
        <v>51</v>
      </c>
      <c r="E11" s="111">
        <v>24</v>
      </c>
      <c r="F11" s="287"/>
      <c r="G11" s="273"/>
      <c r="H11" s="31" t="s">
        <v>220</v>
      </c>
      <c r="I11" s="31">
        <v>135.85</v>
      </c>
      <c r="J11" s="125">
        <v>3260.4</v>
      </c>
      <c r="K11" s="291"/>
      <c r="L11" s="126">
        <v>0.2</v>
      </c>
      <c r="M11" s="31">
        <v>3</v>
      </c>
      <c r="N11" s="247"/>
      <c r="O11" s="272"/>
      <c r="P11" s="272"/>
    </row>
    <row r="12" spans="1:16" s="15" customFormat="1" ht="9" customHeight="1" thickBot="1">
      <c r="A12" s="65"/>
      <c r="B12" s="130"/>
      <c r="C12" s="130"/>
      <c r="D12" s="112"/>
      <c r="E12" s="65"/>
      <c r="F12" s="108"/>
      <c r="G12" s="65"/>
      <c r="H12" s="65"/>
      <c r="I12" s="65"/>
      <c r="J12" s="65"/>
      <c r="K12" s="92"/>
      <c r="L12" s="65"/>
      <c r="M12" s="65"/>
      <c r="N12" s="65"/>
      <c r="O12" s="109"/>
      <c r="P12" s="109"/>
    </row>
    <row r="13" spans="1:20" ht="42.75" customHeight="1" thickBot="1">
      <c r="A13" s="43" t="s">
        <v>116</v>
      </c>
      <c r="B13" s="155">
        <v>20</v>
      </c>
      <c r="C13" s="155" t="s">
        <v>83</v>
      </c>
      <c r="D13" s="241" t="s">
        <v>52</v>
      </c>
      <c r="E13" s="123">
        <v>24</v>
      </c>
      <c r="F13" s="124">
        <v>1353.6</v>
      </c>
      <c r="G13" s="27" t="s">
        <v>211</v>
      </c>
      <c r="H13" s="31" t="s">
        <v>221</v>
      </c>
      <c r="I13" s="125">
        <v>501.6</v>
      </c>
      <c r="J13" s="125">
        <v>12038.4</v>
      </c>
      <c r="K13" s="129">
        <v>12038.4</v>
      </c>
      <c r="L13" s="126">
        <v>0.2</v>
      </c>
      <c r="M13" s="31">
        <v>3</v>
      </c>
      <c r="N13" s="27">
        <v>42</v>
      </c>
      <c r="O13" s="42">
        <v>50</v>
      </c>
      <c r="P13" s="42">
        <v>92</v>
      </c>
      <c r="Q13" s="288"/>
      <c r="R13" s="289"/>
      <c r="S13" s="289"/>
      <c r="T13" s="290"/>
    </row>
    <row r="14" spans="1:16" s="15" customFormat="1" ht="9" customHeight="1" thickBot="1">
      <c r="A14" s="65"/>
      <c r="B14" s="130"/>
      <c r="C14" s="130"/>
      <c r="D14" s="112"/>
      <c r="E14" s="65"/>
      <c r="F14" s="108"/>
      <c r="G14" s="65"/>
      <c r="H14" s="65"/>
      <c r="I14" s="65"/>
      <c r="J14" s="65"/>
      <c r="K14" s="92"/>
      <c r="L14" s="65"/>
      <c r="M14" s="65"/>
      <c r="N14" s="65"/>
      <c r="O14" s="109"/>
      <c r="P14" s="109"/>
    </row>
    <row r="15" spans="1:16" ht="27" customHeight="1">
      <c r="A15" s="97" t="s">
        <v>125</v>
      </c>
      <c r="B15" s="283">
        <v>21</v>
      </c>
      <c r="C15" s="133" t="s">
        <v>83</v>
      </c>
      <c r="D15" s="238" t="s">
        <v>103</v>
      </c>
      <c r="E15" s="97">
        <v>24</v>
      </c>
      <c r="F15" s="285">
        <f>24*168+12*140</f>
        <v>5712</v>
      </c>
      <c r="G15" s="273" t="s">
        <v>211</v>
      </c>
      <c r="H15" s="31">
        <v>134053</v>
      </c>
      <c r="I15" s="125">
        <v>126</v>
      </c>
      <c r="J15" s="125">
        <v>3024</v>
      </c>
      <c r="K15" s="291">
        <v>4284</v>
      </c>
      <c r="L15" s="126">
        <v>0.2</v>
      </c>
      <c r="M15" s="31">
        <v>6</v>
      </c>
      <c r="N15" s="246">
        <v>41</v>
      </c>
      <c r="O15" s="248">
        <f>50*4284/4284</f>
        <v>50</v>
      </c>
      <c r="P15" s="248">
        <f>SUM(N15:O15)</f>
        <v>91</v>
      </c>
    </row>
    <row r="16" spans="1:16" ht="27" customHeight="1" thickBot="1">
      <c r="A16" s="101" t="s">
        <v>125</v>
      </c>
      <c r="B16" s="284"/>
      <c r="C16" s="132" t="s">
        <v>84</v>
      </c>
      <c r="D16" s="240" t="s">
        <v>104</v>
      </c>
      <c r="E16" s="111">
        <v>12</v>
      </c>
      <c r="F16" s="287"/>
      <c r="G16" s="273"/>
      <c r="H16" s="31">
        <v>1304048</v>
      </c>
      <c r="I16" s="125">
        <v>105</v>
      </c>
      <c r="J16" s="125">
        <v>1260</v>
      </c>
      <c r="K16" s="291"/>
      <c r="L16" s="126">
        <v>0.2</v>
      </c>
      <c r="M16" s="31">
        <v>6</v>
      </c>
      <c r="N16" s="247"/>
      <c r="O16" s="272"/>
      <c r="P16" s="272"/>
    </row>
    <row r="17" spans="1:16" ht="9" customHeight="1">
      <c r="A17" s="74"/>
      <c r="B17" s="170"/>
      <c r="C17" s="130"/>
      <c r="D17" s="112"/>
      <c r="E17" s="74"/>
      <c r="F17" s="167"/>
      <c r="G17" s="167"/>
      <c r="H17" s="74"/>
      <c r="I17" s="74"/>
      <c r="J17" s="74"/>
      <c r="K17" s="171"/>
      <c r="L17" s="168"/>
      <c r="M17" s="74"/>
      <c r="N17" s="74"/>
      <c r="O17" s="169"/>
      <c r="P17" s="169"/>
    </row>
    <row r="18" spans="1:16" ht="12.75">
      <c r="A18" s="27" t="s">
        <v>124</v>
      </c>
      <c r="B18" s="277">
        <v>22</v>
      </c>
      <c r="C18" s="89" t="s">
        <v>83</v>
      </c>
      <c r="D18" s="113" t="s">
        <v>252</v>
      </c>
      <c r="E18" s="27">
        <v>100</v>
      </c>
      <c r="F18" s="278">
        <f>100*12+100*12+100*3.5</f>
        <v>2750</v>
      </c>
      <c r="G18" s="273" t="s">
        <v>236</v>
      </c>
      <c r="H18" s="27" t="s">
        <v>237</v>
      </c>
      <c r="I18" s="27">
        <v>3.2</v>
      </c>
      <c r="J18" s="27">
        <v>320</v>
      </c>
      <c r="K18" s="280">
        <v>934</v>
      </c>
      <c r="L18" s="122">
        <v>0.2</v>
      </c>
      <c r="M18" s="27">
        <v>1</v>
      </c>
      <c r="N18" s="273">
        <v>41</v>
      </c>
      <c r="O18" s="274">
        <f>50*934/934</f>
        <v>50</v>
      </c>
      <c r="P18" s="274">
        <f>SUM(N18:O18)</f>
        <v>91</v>
      </c>
    </row>
    <row r="19" spans="1:16" ht="12.75">
      <c r="A19" s="27" t="s">
        <v>124</v>
      </c>
      <c r="B19" s="277"/>
      <c r="C19" s="89" t="s">
        <v>84</v>
      </c>
      <c r="D19" s="113" t="s">
        <v>253</v>
      </c>
      <c r="E19" s="27">
        <v>100</v>
      </c>
      <c r="F19" s="278"/>
      <c r="G19" s="273"/>
      <c r="H19" s="27" t="s">
        <v>238</v>
      </c>
      <c r="I19" s="27">
        <v>2.94</v>
      </c>
      <c r="J19" s="27">
        <v>294</v>
      </c>
      <c r="K19" s="280"/>
      <c r="L19" s="122">
        <v>0.2</v>
      </c>
      <c r="M19" s="27">
        <v>1</v>
      </c>
      <c r="N19" s="273"/>
      <c r="O19" s="274"/>
      <c r="P19" s="274"/>
    </row>
    <row r="20" spans="1:16" ht="12.75">
      <c r="A20" s="27"/>
      <c r="B20" s="277"/>
      <c r="C20" s="89" t="s">
        <v>85</v>
      </c>
      <c r="D20" s="113" t="s">
        <v>53</v>
      </c>
      <c r="E20" s="27">
        <v>100</v>
      </c>
      <c r="F20" s="278"/>
      <c r="G20" s="273"/>
      <c r="H20" s="27" t="s">
        <v>239</v>
      </c>
      <c r="I20" s="27">
        <v>3.2</v>
      </c>
      <c r="J20" s="27">
        <v>320</v>
      </c>
      <c r="K20" s="280"/>
      <c r="L20" s="122">
        <v>0.2</v>
      </c>
      <c r="M20" s="27">
        <v>1</v>
      </c>
      <c r="N20" s="273"/>
      <c r="O20" s="274"/>
      <c r="P20" s="274"/>
    </row>
    <row r="21" spans="1:16" ht="9" customHeight="1">
      <c r="A21" s="74"/>
      <c r="B21" s="170"/>
      <c r="C21" s="130"/>
      <c r="D21" s="112"/>
      <c r="E21" s="74"/>
      <c r="F21" s="167"/>
      <c r="G21" s="167"/>
      <c r="H21" s="74"/>
      <c r="I21" s="74"/>
      <c r="J21" s="74"/>
      <c r="K21" s="171"/>
      <c r="L21" s="168"/>
      <c r="M21" s="74"/>
      <c r="N21" s="74"/>
      <c r="O21" s="169"/>
      <c r="P21" s="169"/>
    </row>
    <row r="22" spans="1:16" ht="12.75">
      <c r="A22" s="27" t="s">
        <v>126</v>
      </c>
      <c r="B22" s="277">
        <v>23</v>
      </c>
      <c r="C22" s="89" t="s">
        <v>83</v>
      </c>
      <c r="D22" s="113" t="s">
        <v>70</v>
      </c>
      <c r="E22" s="27">
        <v>200</v>
      </c>
      <c r="F22" s="278">
        <v>2727</v>
      </c>
      <c r="G22" s="273" t="s">
        <v>229</v>
      </c>
      <c r="H22" s="27" t="s">
        <v>231</v>
      </c>
      <c r="I22" s="42">
        <v>0.6</v>
      </c>
      <c r="J22" s="42">
        <v>120</v>
      </c>
      <c r="K22" s="274">
        <v>480</v>
      </c>
      <c r="L22" s="122">
        <v>0.2</v>
      </c>
      <c r="M22" s="27" t="s">
        <v>232</v>
      </c>
      <c r="N22" s="273">
        <v>40</v>
      </c>
      <c r="O22" s="274">
        <f>50*480/480</f>
        <v>50</v>
      </c>
      <c r="P22" s="274">
        <f>SUM(N22:O22)</f>
        <v>90</v>
      </c>
    </row>
    <row r="23" spans="1:16" ht="12.75">
      <c r="A23" s="27" t="s">
        <v>126</v>
      </c>
      <c r="B23" s="277"/>
      <c r="C23" s="89" t="s">
        <v>84</v>
      </c>
      <c r="D23" s="113" t="s">
        <v>71</v>
      </c>
      <c r="E23" s="27">
        <v>300</v>
      </c>
      <c r="F23" s="278"/>
      <c r="G23" s="273"/>
      <c r="H23" s="27" t="s">
        <v>233</v>
      </c>
      <c r="I23" s="42">
        <v>0.6</v>
      </c>
      <c r="J23" s="42">
        <v>180</v>
      </c>
      <c r="K23" s="274"/>
      <c r="L23" s="122">
        <v>0.2</v>
      </c>
      <c r="M23" s="27" t="s">
        <v>232</v>
      </c>
      <c r="N23" s="273"/>
      <c r="O23" s="274"/>
      <c r="P23" s="274"/>
    </row>
    <row r="24" spans="1:16" ht="12.75">
      <c r="A24" s="27" t="s">
        <v>126</v>
      </c>
      <c r="B24" s="277"/>
      <c r="C24" s="89" t="s">
        <v>85</v>
      </c>
      <c r="D24" s="113" t="s">
        <v>72</v>
      </c>
      <c r="E24" s="27">
        <v>300</v>
      </c>
      <c r="F24" s="278"/>
      <c r="G24" s="273"/>
      <c r="H24" s="27" t="s">
        <v>234</v>
      </c>
      <c r="I24" s="42">
        <v>0.6</v>
      </c>
      <c r="J24" s="42">
        <v>180</v>
      </c>
      <c r="K24" s="274"/>
      <c r="L24" s="122">
        <v>0.2</v>
      </c>
      <c r="M24" s="27" t="s">
        <v>235</v>
      </c>
      <c r="N24" s="273"/>
      <c r="O24" s="274"/>
      <c r="P24" s="274"/>
    </row>
    <row r="25" spans="1:16" ht="9" customHeight="1">
      <c r="A25" s="156"/>
      <c r="B25" s="157"/>
      <c r="C25" s="157"/>
      <c r="D25" s="158"/>
      <c r="E25" s="156"/>
      <c r="F25" s="159"/>
      <c r="G25" s="156"/>
      <c r="H25" s="156"/>
      <c r="I25" s="156"/>
      <c r="J25" s="156"/>
      <c r="K25" s="160"/>
      <c r="L25" s="156"/>
      <c r="M25" s="156"/>
      <c r="N25" s="156"/>
      <c r="O25" s="161"/>
      <c r="P25" s="161"/>
    </row>
    <row r="26" spans="1:16" ht="38.25">
      <c r="A26" s="27" t="s">
        <v>127</v>
      </c>
      <c r="B26" s="277">
        <v>24</v>
      </c>
      <c r="C26" s="89" t="s">
        <v>83</v>
      </c>
      <c r="D26" s="113" t="s">
        <v>91</v>
      </c>
      <c r="E26" s="27">
        <v>100</v>
      </c>
      <c r="F26" s="278">
        <f>100*122+100*177</f>
        <v>29900</v>
      </c>
      <c r="G26" s="278" t="s">
        <v>172</v>
      </c>
      <c r="H26" s="27" t="s">
        <v>173</v>
      </c>
      <c r="I26" s="147">
        <v>72</v>
      </c>
      <c r="J26" s="147">
        <f>E26*I26</f>
        <v>7200</v>
      </c>
      <c r="K26" s="292">
        <f>J26+J27</f>
        <v>12960</v>
      </c>
      <c r="L26" s="122">
        <v>0.2</v>
      </c>
      <c r="M26" s="27">
        <v>6</v>
      </c>
      <c r="N26" s="273">
        <v>39</v>
      </c>
      <c r="O26" s="274">
        <f>50*12960/12960</f>
        <v>50</v>
      </c>
      <c r="P26" s="274">
        <f>SUM(N26:O26)</f>
        <v>89</v>
      </c>
    </row>
    <row r="27" spans="1:16" ht="38.25">
      <c r="A27" s="27" t="s">
        <v>127</v>
      </c>
      <c r="B27" s="277"/>
      <c r="C27" s="89" t="s">
        <v>84</v>
      </c>
      <c r="D27" s="113" t="s">
        <v>92</v>
      </c>
      <c r="E27" s="27">
        <v>100</v>
      </c>
      <c r="F27" s="278"/>
      <c r="G27" s="278"/>
      <c r="H27" s="27" t="s">
        <v>174</v>
      </c>
      <c r="I27" s="147">
        <v>57.6</v>
      </c>
      <c r="J27" s="147">
        <f>E27*I27</f>
        <v>5760</v>
      </c>
      <c r="K27" s="292"/>
      <c r="L27" s="122">
        <v>0.2</v>
      </c>
      <c r="M27" s="27">
        <v>6</v>
      </c>
      <c r="N27" s="273"/>
      <c r="O27" s="274"/>
      <c r="P27" s="274"/>
    </row>
    <row r="28" spans="1:16" ht="9" customHeight="1">
      <c r="A28" s="74"/>
      <c r="B28" s="170"/>
      <c r="C28" s="130"/>
      <c r="D28" s="112"/>
      <c r="E28" s="74"/>
      <c r="F28" s="167"/>
      <c r="G28" s="167"/>
      <c r="H28" s="74"/>
      <c r="I28" s="74"/>
      <c r="J28" s="74"/>
      <c r="K28" s="171"/>
      <c r="L28" s="168"/>
      <c r="M28" s="74"/>
      <c r="N28" s="74"/>
      <c r="O28" s="169"/>
      <c r="P28" s="169"/>
    </row>
    <row r="29" spans="1:16" ht="25.5">
      <c r="A29" s="89" t="s">
        <v>128</v>
      </c>
      <c r="B29" s="89">
        <v>25</v>
      </c>
      <c r="C29" s="89" t="s">
        <v>83</v>
      </c>
      <c r="D29" s="113" t="s">
        <v>93</v>
      </c>
      <c r="E29" s="27">
        <v>12</v>
      </c>
      <c r="F29" s="6">
        <f>340*12</f>
        <v>4080</v>
      </c>
      <c r="G29" s="27" t="s">
        <v>176</v>
      </c>
      <c r="H29" s="27" t="s">
        <v>190</v>
      </c>
      <c r="I29" s="121">
        <v>276</v>
      </c>
      <c r="J29" s="121">
        <f>E29*I29</f>
        <v>3312</v>
      </c>
      <c r="K29" s="164">
        <v>3312</v>
      </c>
      <c r="L29" s="122">
        <v>0.2</v>
      </c>
      <c r="M29" s="27">
        <v>6</v>
      </c>
      <c r="N29" s="27">
        <v>43</v>
      </c>
      <c r="O29" s="42">
        <f>50*3223.2/3312</f>
        <v>48.65942028985507</v>
      </c>
      <c r="P29" s="42">
        <f>SUM(N29:O29)</f>
        <v>91.65942028985506</v>
      </c>
    </row>
    <row r="30" spans="1:20" ht="9" customHeight="1">
      <c r="A30" s="157"/>
      <c r="B30" s="157"/>
      <c r="C30" s="157"/>
      <c r="D30" s="158"/>
      <c r="E30" s="156"/>
      <c r="F30" s="159"/>
      <c r="G30" s="156"/>
      <c r="H30" s="156"/>
      <c r="I30" s="156"/>
      <c r="J30" s="156"/>
      <c r="K30" s="165"/>
      <c r="L30" s="156"/>
      <c r="M30" s="156"/>
      <c r="N30" s="156"/>
      <c r="O30" s="161"/>
      <c r="P30" s="161"/>
      <c r="Q30" s="15"/>
      <c r="R30" s="15"/>
      <c r="S30" s="15"/>
      <c r="T30" s="15"/>
    </row>
    <row r="31" spans="1:20" ht="38.25">
      <c r="A31" s="89" t="s">
        <v>128</v>
      </c>
      <c r="B31" s="89">
        <v>26</v>
      </c>
      <c r="C31" s="89" t="s">
        <v>83</v>
      </c>
      <c r="D31" s="113" t="s">
        <v>107</v>
      </c>
      <c r="E31" s="27">
        <v>60</v>
      </c>
      <c r="F31" s="6">
        <v>16560</v>
      </c>
      <c r="G31" s="27" t="s">
        <v>176</v>
      </c>
      <c r="H31" s="27" t="s">
        <v>255</v>
      </c>
      <c r="I31" s="121">
        <v>244</v>
      </c>
      <c r="J31" s="121">
        <f>E31*I31</f>
        <v>14640</v>
      </c>
      <c r="K31" s="121">
        <v>14640</v>
      </c>
      <c r="L31" s="122">
        <v>0.2</v>
      </c>
      <c r="M31" s="27">
        <v>3</v>
      </c>
      <c r="N31" s="27">
        <v>43</v>
      </c>
      <c r="O31" s="42">
        <f>50*14640/14640</f>
        <v>50</v>
      </c>
      <c r="P31" s="42">
        <f>SUM(N31:O31)</f>
        <v>93</v>
      </c>
      <c r="Q31" s="293"/>
      <c r="R31" s="294"/>
      <c r="S31" s="294"/>
      <c r="T31" s="295"/>
    </row>
    <row r="32" spans="1:20" ht="9" customHeight="1">
      <c r="A32" s="157"/>
      <c r="B32" s="157"/>
      <c r="C32" s="157"/>
      <c r="D32" s="158"/>
      <c r="E32" s="156"/>
      <c r="F32" s="159"/>
      <c r="G32" s="156"/>
      <c r="H32" s="156"/>
      <c r="I32" s="156"/>
      <c r="J32" s="156"/>
      <c r="K32" s="165"/>
      <c r="L32" s="156"/>
      <c r="M32" s="156"/>
      <c r="N32" s="156"/>
      <c r="O32" s="161"/>
      <c r="P32" s="161"/>
      <c r="Q32" s="15"/>
      <c r="R32" s="15"/>
      <c r="S32" s="15"/>
      <c r="T32" s="15"/>
    </row>
    <row r="33" spans="1:16" ht="38.25">
      <c r="A33" s="89" t="s">
        <v>128</v>
      </c>
      <c r="B33" s="89">
        <v>27</v>
      </c>
      <c r="C33" s="89" t="s">
        <v>83</v>
      </c>
      <c r="D33" s="113" t="s">
        <v>108</v>
      </c>
      <c r="E33" s="27">
        <v>6</v>
      </c>
      <c r="F33" s="6">
        <v>1656</v>
      </c>
      <c r="G33" s="27" t="s">
        <v>176</v>
      </c>
      <c r="H33" s="27" t="s">
        <v>191</v>
      </c>
      <c r="I33" s="121">
        <v>249</v>
      </c>
      <c r="J33" s="121">
        <f>E33*I33</f>
        <v>1494</v>
      </c>
      <c r="K33" s="164">
        <v>1494</v>
      </c>
      <c r="L33" s="122">
        <v>0.2</v>
      </c>
      <c r="M33" s="27">
        <v>3</v>
      </c>
      <c r="N33" s="27">
        <v>43</v>
      </c>
      <c r="O33" s="42">
        <v>50</v>
      </c>
      <c r="P33" s="42">
        <v>93</v>
      </c>
    </row>
    <row r="34" ht="12.75">
      <c r="K34" s="106">
        <f>SUM(K2:K33)</f>
        <v>95383.6</v>
      </c>
    </row>
  </sheetData>
  <sheetProtection/>
  <mergeCells count="45">
    <mergeCell ref="Q31:T31"/>
    <mergeCell ref="N26:N27"/>
    <mergeCell ref="O26:O27"/>
    <mergeCell ref="P26:P27"/>
    <mergeCell ref="N22:N24"/>
    <mergeCell ref="O22:O24"/>
    <mergeCell ref="P22:P24"/>
    <mergeCell ref="K26:K27"/>
    <mergeCell ref="K22:K24"/>
    <mergeCell ref="G26:G27"/>
    <mergeCell ref="B26:B27"/>
    <mergeCell ref="F26:F27"/>
    <mergeCell ref="B18:B20"/>
    <mergeCell ref="F18:F20"/>
    <mergeCell ref="B22:B24"/>
    <mergeCell ref="F22:F24"/>
    <mergeCell ref="G22:G24"/>
    <mergeCell ref="O18:O20"/>
    <mergeCell ref="P18:P20"/>
    <mergeCell ref="G18:G20"/>
    <mergeCell ref="N18:N20"/>
    <mergeCell ref="K18:K20"/>
    <mergeCell ref="Q8:T8"/>
    <mergeCell ref="Q13:T13"/>
    <mergeCell ref="K15:K16"/>
    <mergeCell ref="G4:G6"/>
    <mergeCell ref="K4:K6"/>
    <mergeCell ref="G10:G11"/>
    <mergeCell ref="K10:K11"/>
    <mergeCell ref="G15:G16"/>
    <mergeCell ref="N15:N16"/>
    <mergeCell ref="O15:O16"/>
    <mergeCell ref="B10:B11"/>
    <mergeCell ref="B4:B6"/>
    <mergeCell ref="F4:F6"/>
    <mergeCell ref="B15:B16"/>
    <mergeCell ref="F15:F16"/>
    <mergeCell ref="F10:F11"/>
    <mergeCell ref="P15:P16"/>
    <mergeCell ref="N4:N6"/>
    <mergeCell ref="O4:O6"/>
    <mergeCell ref="P4:P6"/>
    <mergeCell ref="N10:N11"/>
    <mergeCell ref="O10:O11"/>
    <mergeCell ref="P10:P11"/>
  </mergeCells>
  <printOptions/>
  <pageMargins left="0.2" right="0.17" top="0.38" bottom="0.45" header="0.17" footer="0.17"/>
  <pageSetup fitToHeight="2" fitToWidth="1" horizontalDpi="600" verticalDpi="600" orientation="landscape" paperSize="9" scale="77" r:id="rId1"/>
  <headerFooter alignWithMargins="0">
    <oddHeader>&amp;R&amp;F</oddHeader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zoomScale="75" zoomScaleNormal="75" workbookViewId="0" topLeftCell="A1">
      <pane xSplit="3" topLeftCell="J1" activePane="topRight" state="frozen"/>
      <selection pane="topLeft" activeCell="A1" sqref="A1"/>
      <selection pane="topRight" activeCell="T6" sqref="T6"/>
    </sheetView>
  </sheetViews>
  <sheetFormatPr defaultColWidth="9.140625" defaultRowHeight="12.75"/>
  <cols>
    <col min="1" max="1" width="13.421875" style="127" customWidth="1"/>
    <col min="2" max="2" width="5.00390625" style="127" customWidth="1"/>
    <col min="3" max="3" width="5.8515625" style="93" customWidth="1"/>
    <col min="4" max="4" width="62.57421875" style="114" customWidth="1"/>
    <col min="5" max="5" width="8.7109375" style="3" customWidth="1"/>
    <col min="6" max="6" width="11.28125" style="94" customWidth="1"/>
    <col min="7" max="7" width="12.8515625" style="94" customWidth="1"/>
    <col min="8" max="8" width="11.7109375" style="3" customWidth="1"/>
    <col min="9" max="9" width="10.8515625" style="3" customWidth="1"/>
    <col min="10" max="10" width="14.421875" style="3" customWidth="1"/>
    <col min="11" max="11" width="14.421875" style="106" customWidth="1"/>
    <col min="12" max="12" width="5.28125" style="95" customWidth="1"/>
    <col min="13" max="13" width="5.421875" style="3" customWidth="1"/>
    <col min="14" max="14" width="6.140625" style="3" customWidth="1"/>
    <col min="15" max="15" width="6.421875" style="96" customWidth="1"/>
    <col min="16" max="16" width="9.8515625" style="96" customWidth="1"/>
    <col min="17" max="16384" width="9.140625" style="3" customWidth="1"/>
  </cols>
  <sheetData>
    <row r="1" spans="1:16" ht="63.75">
      <c r="A1" s="27" t="s">
        <v>112</v>
      </c>
      <c r="B1" s="27" t="s">
        <v>81</v>
      </c>
      <c r="C1" s="27" t="s">
        <v>82</v>
      </c>
      <c r="D1" s="27" t="s">
        <v>147</v>
      </c>
      <c r="E1" s="27" t="s">
        <v>146</v>
      </c>
      <c r="F1" s="6" t="s">
        <v>148</v>
      </c>
      <c r="G1" s="6" t="s">
        <v>155</v>
      </c>
      <c r="H1" s="40" t="s">
        <v>143</v>
      </c>
      <c r="I1" s="40" t="s">
        <v>150</v>
      </c>
      <c r="J1" s="40" t="s">
        <v>149</v>
      </c>
      <c r="K1" s="90" t="s">
        <v>151</v>
      </c>
      <c r="L1" s="41" t="s">
        <v>144</v>
      </c>
      <c r="M1" s="40" t="s">
        <v>145</v>
      </c>
      <c r="N1" s="40" t="s">
        <v>152</v>
      </c>
      <c r="O1" s="42" t="s">
        <v>153</v>
      </c>
      <c r="P1" s="42" t="s">
        <v>154</v>
      </c>
    </row>
    <row r="2" spans="1:17" ht="42" customHeight="1">
      <c r="A2" s="89" t="s">
        <v>129</v>
      </c>
      <c r="B2" s="89">
        <v>28</v>
      </c>
      <c r="C2" s="89" t="s">
        <v>83</v>
      </c>
      <c r="D2" s="113" t="s">
        <v>73</v>
      </c>
      <c r="E2" s="27">
        <v>6</v>
      </c>
      <c r="F2" s="6">
        <v>1956</v>
      </c>
      <c r="G2" s="27" t="s">
        <v>211</v>
      </c>
      <c r="H2" s="31" t="s">
        <v>222</v>
      </c>
      <c r="I2" s="125">
        <v>316.22</v>
      </c>
      <c r="J2" s="125">
        <v>1897.32</v>
      </c>
      <c r="K2" s="129">
        <v>1897.32</v>
      </c>
      <c r="L2" s="126">
        <v>0.2</v>
      </c>
      <c r="M2" s="31">
        <v>6</v>
      </c>
      <c r="N2" s="27">
        <v>40</v>
      </c>
      <c r="O2" s="42">
        <v>50</v>
      </c>
      <c r="P2" s="119">
        <v>90</v>
      </c>
      <c r="Q2" s="38"/>
    </row>
    <row r="3" spans="1:17" s="15" customFormat="1" ht="9" customHeight="1">
      <c r="A3" s="130"/>
      <c r="B3" s="130"/>
      <c r="C3" s="130"/>
      <c r="D3" s="112"/>
      <c r="E3" s="65"/>
      <c r="F3" s="108"/>
      <c r="G3" s="65"/>
      <c r="H3" s="65"/>
      <c r="I3" s="65"/>
      <c r="J3" s="65"/>
      <c r="K3" s="92"/>
      <c r="L3" s="65"/>
      <c r="M3" s="65"/>
      <c r="N3" s="65"/>
      <c r="O3" s="109"/>
      <c r="P3" s="109"/>
      <c r="Q3" s="38"/>
    </row>
    <row r="4" spans="1:17" ht="50.25" customHeight="1">
      <c r="A4" s="89" t="s">
        <v>130</v>
      </c>
      <c r="B4" s="277">
        <v>29</v>
      </c>
      <c r="C4" s="89" t="s">
        <v>83</v>
      </c>
      <c r="D4" s="113" t="s">
        <v>75</v>
      </c>
      <c r="E4" s="27">
        <v>6</v>
      </c>
      <c r="F4" s="278">
        <v>7122</v>
      </c>
      <c r="G4" s="273" t="s">
        <v>211</v>
      </c>
      <c r="H4" s="31" t="s">
        <v>223</v>
      </c>
      <c r="I4" s="31">
        <v>307.49</v>
      </c>
      <c r="J4" s="31">
        <v>1844.94</v>
      </c>
      <c r="K4" s="291">
        <v>6780.3</v>
      </c>
      <c r="L4" s="126">
        <v>0.2</v>
      </c>
      <c r="M4" s="31">
        <v>3</v>
      </c>
      <c r="N4" s="273">
        <v>41</v>
      </c>
      <c r="O4" s="274">
        <v>50</v>
      </c>
      <c r="P4" s="296">
        <v>91</v>
      </c>
      <c r="Q4" s="38"/>
    </row>
    <row r="5" spans="1:17" ht="50.25" customHeight="1">
      <c r="A5" s="89" t="s">
        <v>131</v>
      </c>
      <c r="B5" s="277"/>
      <c r="C5" s="89" t="s">
        <v>84</v>
      </c>
      <c r="D5" s="113" t="s">
        <v>76</v>
      </c>
      <c r="E5" s="27">
        <v>6</v>
      </c>
      <c r="F5" s="278"/>
      <c r="G5" s="273"/>
      <c r="H5" s="31" t="s">
        <v>224</v>
      </c>
      <c r="I5" s="31">
        <v>253.17</v>
      </c>
      <c r="J5" s="31">
        <v>1519.02</v>
      </c>
      <c r="K5" s="291"/>
      <c r="L5" s="126">
        <v>0.2</v>
      </c>
      <c r="M5" s="31">
        <v>6</v>
      </c>
      <c r="N5" s="273"/>
      <c r="O5" s="274"/>
      <c r="P5" s="296"/>
      <c r="Q5" s="38"/>
    </row>
    <row r="6" spans="1:17" ht="50.25" customHeight="1">
      <c r="A6" s="89" t="s">
        <v>131</v>
      </c>
      <c r="B6" s="277"/>
      <c r="C6" s="89" t="s">
        <v>85</v>
      </c>
      <c r="D6" s="113" t="s">
        <v>78</v>
      </c>
      <c r="E6" s="27">
        <v>6</v>
      </c>
      <c r="F6" s="278"/>
      <c r="G6" s="273"/>
      <c r="H6" s="31" t="s">
        <v>225</v>
      </c>
      <c r="I6" s="31">
        <v>262.87</v>
      </c>
      <c r="J6" s="31">
        <v>1577.22</v>
      </c>
      <c r="K6" s="291"/>
      <c r="L6" s="126">
        <v>0.2</v>
      </c>
      <c r="M6" s="31">
        <v>6</v>
      </c>
      <c r="N6" s="273"/>
      <c r="O6" s="274"/>
      <c r="P6" s="296"/>
      <c r="Q6" s="38"/>
    </row>
    <row r="7" spans="1:17" ht="50.25" customHeight="1">
      <c r="A7" s="89" t="s">
        <v>131</v>
      </c>
      <c r="B7" s="277"/>
      <c r="C7" s="89" t="s">
        <v>86</v>
      </c>
      <c r="D7" s="113" t="s">
        <v>77</v>
      </c>
      <c r="E7" s="27">
        <v>6</v>
      </c>
      <c r="F7" s="278"/>
      <c r="G7" s="273"/>
      <c r="H7" s="31" t="s">
        <v>226</v>
      </c>
      <c r="I7" s="31">
        <v>306.52</v>
      </c>
      <c r="J7" s="31">
        <v>1839.12</v>
      </c>
      <c r="K7" s="291"/>
      <c r="L7" s="126">
        <v>0.2</v>
      </c>
      <c r="M7" s="31">
        <v>6</v>
      </c>
      <c r="N7" s="273"/>
      <c r="O7" s="274"/>
      <c r="P7" s="296"/>
      <c r="Q7" s="38"/>
    </row>
    <row r="8" spans="1:17" s="15" customFormat="1" ht="9" customHeight="1">
      <c r="A8" s="130"/>
      <c r="B8" s="130"/>
      <c r="C8" s="130"/>
      <c r="D8" s="112"/>
      <c r="E8" s="65"/>
      <c r="F8" s="108"/>
      <c r="G8" s="65"/>
      <c r="H8" s="65"/>
      <c r="I8" s="65"/>
      <c r="J8" s="65"/>
      <c r="K8" s="92"/>
      <c r="L8" s="65"/>
      <c r="M8" s="65"/>
      <c r="N8" s="65"/>
      <c r="O8" s="109"/>
      <c r="P8" s="109"/>
      <c r="Q8" s="163"/>
    </row>
    <row r="9" spans="1:17" ht="45" customHeight="1">
      <c r="A9" s="89" t="s">
        <v>130</v>
      </c>
      <c r="B9" s="277">
        <v>30</v>
      </c>
      <c r="C9" s="89" t="s">
        <v>83</v>
      </c>
      <c r="D9" s="113" t="s">
        <v>54</v>
      </c>
      <c r="E9" s="27">
        <v>6</v>
      </c>
      <c r="F9" s="278">
        <f>(6*605)+(6*605)+(6*605)+(30*231)</f>
        <v>17820</v>
      </c>
      <c r="G9" s="273" t="s">
        <v>176</v>
      </c>
      <c r="H9" s="27" t="s">
        <v>192</v>
      </c>
      <c r="I9" s="121">
        <v>640</v>
      </c>
      <c r="J9" s="121">
        <f>E9*I9</f>
        <v>3840</v>
      </c>
      <c r="K9" s="280">
        <f>J9+J10+J11+J12</f>
        <v>17742</v>
      </c>
      <c r="L9" s="41"/>
      <c r="M9" s="27">
        <v>3</v>
      </c>
      <c r="N9" s="273">
        <v>42</v>
      </c>
      <c r="O9" s="274">
        <v>50</v>
      </c>
      <c r="P9" s="296">
        <v>92</v>
      </c>
      <c r="Q9" s="38"/>
    </row>
    <row r="10" spans="1:17" ht="45" customHeight="1">
      <c r="A10" s="89" t="s">
        <v>130</v>
      </c>
      <c r="B10" s="277"/>
      <c r="C10" s="89" t="s">
        <v>84</v>
      </c>
      <c r="D10" s="113" t="s">
        <v>55</v>
      </c>
      <c r="E10" s="27">
        <v>6</v>
      </c>
      <c r="F10" s="278"/>
      <c r="G10" s="273"/>
      <c r="H10" s="27" t="s">
        <v>193</v>
      </c>
      <c r="I10" s="121">
        <v>586</v>
      </c>
      <c r="J10" s="121">
        <f>E10*I10</f>
        <v>3516</v>
      </c>
      <c r="K10" s="280"/>
      <c r="L10" s="41"/>
      <c r="M10" s="27">
        <v>3</v>
      </c>
      <c r="N10" s="273"/>
      <c r="O10" s="274"/>
      <c r="P10" s="296"/>
      <c r="Q10" s="38"/>
    </row>
    <row r="11" spans="1:17" ht="45" customHeight="1">
      <c r="A11" s="89" t="s">
        <v>130</v>
      </c>
      <c r="B11" s="277"/>
      <c r="C11" s="89" t="s">
        <v>85</v>
      </c>
      <c r="D11" s="113" t="s">
        <v>6</v>
      </c>
      <c r="E11" s="27">
        <v>6</v>
      </c>
      <c r="F11" s="278"/>
      <c r="G11" s="273"/>
      <c r="H11" s="27" t="s">
        <v>194</v>
      </c>
      <c r="I11" s="121">
        <v>586</v>
      </c>
      <c r="J11" s="121">
        <f>E11*I11</f>
        <v>3516</v>
      </c>
      <c r="K11" s="280"/>
      <c r="L11" s="41"/>
      <c r="M11" s="27">
        <v>3</v>
      </c>
      <c r="N11" s="273"/>
      <c r="O11" s="274"/>
      <c r="P11" s="296"/>
      <c r="Q11" s="38"/>
    </row>
    <row r="12" spans="1:17" ht="45" customHeight="1">
      <c r="A12" s="89" t="s">
        <v>131</v>
      </c>
      <c r="B12" s="277"/>
      <c r="C12" s="89" t="s">
        <v>86</v>
      </c>
      <c r="D12" s="113" t="s">
        <v>56</v>
      </c>
      <c r="E12" s="27">
        <v>30</v>
      </c>
      <c r="F12" s="278"/>
      <c r="G12" s="273"/>
      <c r="H12" s="27" t="s">
        <v>195</v>
      </c>
      <c r="I12" s="121">
        <v>229</v>
      </c>
      <c r="J12" s="121">
        <f>E12*I12</f>
        <v>6870</v>
      </c>
      <c r="K12" s="280"/>
      <c r="L12" s="41"/>
      <c r="M12" s="27">
        <v>12</v>
      </c>
      <c r="N12" s="273"/>
      <c r="O12" s="274"/>
      <c r="P12" s="296"/>
      <c r="Q12" s="38"/>
    </row>
    <row r="13" spans="1:17" s="15" customFormat="1" ht="9" customHeight="1">
      <c r="A13" s="130"/>
      <c r="B13" s="130"/>
      <c r="C13" s="130"/>
      <c r="D13" s="112"/>
      <c r="E13" s="65"/>
      <c r="F13" s="108"/>
      <c r="G13" s="65"/>
      <c r="H13" s="65"/>
      <c r="I13" s="65"/>
      <c r="J13" s="65"/>
      <c r="K13" s="92"/>
      <c r="L13" s="65"/>
      <c r="M13" s="65"/>
      <c r="N13" s="65"/>
      <c r="O13" s="109"/>
      <c r="P13" s="109"/>
      <c r="Q13" s="38"/>
    </row>
    <row r="14" spans="1:17" ht="27" customHeight="1">
      <c r="A14" s="89" t="s">
        <v>130</v>
      </c>
      <c r="B14" s="277">
        <v>31</v>
      </c>
      <c r="C14" s="89" t="s">
        <v>83</v>
      </c>
      <c r="D14" s="166" t="s">
        <v>0</v>
      </c>
      <c r="E14" s="27">
        <v>6</v>
      </c>
      <c r="F14" s="278">
        <f>6*555+12*270</f>
        <v>6570</v>
      </c>
      <c r="G14" s="273" t="s">
        <v>176</v>
      </c>
      <c r="H14" s="27" t="s">
        <v>196</v>
      </c>
      <c r="I14" s="121">
        <v>554</v>
      </c>
      <c r="J14" s="121">
        <f>E14*I14</f>
        <v>3324</v>
      </c>
      <c r="K14" s="280">
        <f>J14+J15</f>
        <v>5820</v>
      </c>
      <c r="L14" s="41"/>
      <c r="M14" s="27">
        <v>3</v>
      </c>
      <c r="N14" s="273">
        <v>42</v>
      </c>
      <c r="O14" s="274">
        <v>50</v>
      </c>
      <c r="P14" s="296">
        <v>92</v>
      </c>
      <c r="Q14" s="38"/>
    </row>
    <row r="15" spans="1:17" ht="28.5" customHeight="1">
      <c r="A15" s="89" t="s">
        <v>131</v>
      </c>
      <c r="B15" s="277"/>
      <c r="C15" s="89" t="s">
        <v>84</v>
      </c>
      <c r="D15" s="166" t="s">
        <v>3</v>
      </c>
      <c r="E15" s="27">
        <v>12</v>
      </c>
      <c r="F15" s="278"/>
      <c r="G15" s="273"/>
      <c r="H15" s="27" t="s">
        <v>197</v>
      </c>
      <c r="I15" s="121">
        <v>208</v>
      </c>
      <c r="J15" s="121">
        <f>E15*I15</f>
        <v>2496</v>
      </c>
      <c r="K15" s="280"/>
      <c r="L15" s="41"/>
      <c r="M15" s="27">
        <v>12</v>
      </c>
      <c r="N15" s="273"/>
      <c r="O15" s="274"/>
      <c r="P15" s="296"/>
      <c r="Q15" s="38"/>
    </row>
    <row r="16" spans="1:17" s="15" customFormat="1" ht="8.25" customHeight="1">
      <c r="A16" s="93"/>
      <c r="B16" s="93"/>
      <c r="C16" s="93"/>
      <c r="D16" s="114"/>
      <c r="F16" s="104"/>
      <c r="K16" s="107"/>
      <c r="O16" s="105"/>
      <c r="P16" s="105"/>
      <c r="Q16" s="38"/>
    </row>
    <row r="17" spans="1:20" s="15" customFormat="1" ht="25.5" customHeight="1">
      <c r="A17" s="89" t="s">
        <v>130</v>
      </c>
      <c r="B17" s="277">
        <v>32</v>
      </c>
      <c r="C17" s="89" t="s">
        <v>83</v>
      </c>
      <c r="D17" s="113" t="s">
        <v>109</v>
      </c>
      <c r="E17" s="27">
        <v>3</v>
      </c>
      <c r="F17" s="278">
        <f>3*555+6*270</f>
        <v>3285</v>
      </c>
      <c r="G17" s="273" t="s">
        <v>176</v>
      </c>
      <c r="H17" s="27" t="s">
        <v>198</v>
      </c>
      <c r="I17" s="121">
        <v>554</v>
      </c>
      <c r="J17" s="121">
        <f>E17*I17</f>
        <v>1662</v>
      </c>
      <c r="K17" s="280">
        <f>J17+J18</f>
        <v>2910</v>
      </c>
      <c r="L17" s="41"/>
      <c r="M17" s="27">
        <v>3</v>
      </c>
      <c r="N17" s="273">
        <v>42</v>
      </c>
      <c r="O17" s="274">
        <v>50</v>
      </c>
      <c r="P17" s="274">
        <v>92</v>
      </c>
      <c r="Q17" s="3"/>
      <c r="R17" s="3"/>
      <c r="S17" s="3"/>
      <c r="T17" s="3"/>
    </row>
    <row r="18" spans="1:16" ht="12.75">
      <c r="A18" s="89" t="s">
        <v>131</v>
      </c>
      <c r="B18" s="277"/>
      <c r="C18" s="89" t="s">
        <v>84</v>
      </c>
      <c r="D18" s="113" t="s">
        <v>1</v>
      </c>
      <c r="E18" s="27">
        <v>6</v>
      </c>
      <c r="F18" s="278"/>
      <c r="G18" s="273"/>
      <c r="H18" s="27" t="s">
        <v>199</v>
      </c>
      <c r="I18" s="121">
        <v>208</v>
      </c>
      <c r="J18" s="121">
        <f>E18*I18</f>
        <v>1248</v>
      </c>
      <c r="K18" s="280"/>
      <c r="L18" s="41"/>
      <c r="M18" s="27">
        <v>12</v>
      </c>
      <c r="N18" s="273"/>
      <c r="O18" s="274"/>
      <c r="P18" s="274"/>
    </row>
    <row r="19" spans="1:20" ht="9" customHeight="1">
      <c r="A19" s="130"/>
      <c r="B19" s="130"/>
      <c r="C19" s="130"/>
      <c r="D19" s="112"/>
      <c r="E19" s="65"/>
      <c r="F19" s="108"/>
      <c r="G19" s="65"/>
      <c r="H19" s="65"/>
      <c r="I19" s="65"/>
      <c r="J19" s="65"/>
      <c r="K19" s="92"/>
      <c r="L19" s="65"/>
      <c r="M19" s="65"/>
      <c r="N19" s="65"/>
      <c r="O19" s="109"/>
      <c r="P19" s="109"/>
      <c r="Q19" s="65"/>
      <c r="R19" s="65"/>
      <c r="S19" s="65"/>
      <c r="T19" s="65"/>
    </row>
    <row r="20" spans="1:20" ht="12.75">
      <c r="A20" s="89" t="s">
        <v>133</v>
      </c>
      <c r="B20" s="89">
        <v>33</v>
      </c>
      <c r="C20" s="89" t="s">
        <v>83</v>
      </c>
      <c r="D20" s="113" t="s">
        <v>57</v>
      </c>
      <c r="E20" s="27">
        <v>24</v>
      </c>
      <c r="F20" s="6">
        <v>3048</v>
      </c>
      <c r="G20" s="27" t="s">
        <v>211</v>
      </c>
      <c r="H20" s="31">
        <v>173049</v>
      </c>
      <c r="I20" s="31">
        <v>120.65</v>
      </c>
      <c r="J20" s="125">
        <v>2895.6</v>
      </c>
      <c r="K20" s="125">
        <v>2895.6</v>
      </c>
      <c r="L20" s="126">
        <v>0.2</v>
      </c>
      <c r="M20" s="31">
        <v>3</v>
      </c>
      <c r="N20" s="27">
        <v>41</v>
      </c>
      <c r="O20" s="42">
        <f>50*2895.6/2895.6</f>
        <v>50</v>
      </c>
      <c r="P20" s="42">
        <f>SUM(N20:O20)</f>
        <v>91</v>
      </c>
      <c r="Q20" s="297"/>
      <c r="R20" s="297"/>
      <c r="S20" s="297"/>
      <c r="T20" s="297"/>
    </row>
    <row r="21" spans="1:20" ht="9" customHeight="1">
      <c r="A21" s="170"/>
      <c r="B21" s="170"/>
      <c r="C21" s="130"/>
      <c r="D21" s="112"/>
      <c r="E21" s="74"/>
      <c r="F21" s="167"/>
      <c r="G21" s="167"/>
      <c r="H21" s="74"/>
      <c r="I21" s="74"/>
      <c r="J21" s="74"/>
      <c r="K21" s="171"/>
      <c r="L21" s="168"/>
      <c r="M21" s="74"/>
      <c r="N21" s="74"/>
      <c r="O21" s="169"/>
      <c r="P21" s="169"/>
      <c r="Q21" s="74"/>
      <c r="R21" s="74"/>
      <c r="S21" s="74"/>
      <c r="T21" s="74"/>
    </row>
    <row r="22" spans="1:20" ht="25.5">
      <c r="A22" s="89" t="s">
        <v>132</v>
      </c>
      <c r="B22" s="89">
        <v>34</v>
      </c>
      <c r="C22" s="89" t="s">
        <v>83</v>
      </c>
      <c r="D22" s="113" t="s">
        <v>254</v>
      </c>
      <c r="E22" s="27">
        <v>12</v>
      </c>
      <c r="F22" s="6">
        <f>12*301</f>
        <v>3612</v>
      </c>
      <c r="G22" s="27" t="s">
        <v>211</v>
      </c>
      <c r="H22" s="31" t="s">
        <v>256</v>
      </c>
      <c r="I22" s="31">
        <v>285.95</v>
      </c>
      <c r="J22" s="125">
        <v>3431.4</v>
      </c>
      <c r="K22" s="125">
        <v>3431.4</v>
      </c>
      <c r="L22" s="126">
        <v>0.2</v>
      </c>
      <c r="M22" s="31">
        <v>6</v>
      </c>
      <c r="N22" s="27">
        <v>41</v>
      </c>
      <c r="O22" s="42">
        <f>50*3431.4/3431.4</f>
        <v>50</v>
      </c>
      <c r="P22" s="42">
        <f>SUM(N22:O22)</f>
        <v>91</v>
      </c>
      <c r="Q22" s="297"/>
      <c r="R22" s="297"/>
      <c r="S22" s="297"/>
      <c r="T22" s="297"/>
    </row>
    <row r="23" spans="1:16" ht="9" customHeight="1">
      <c r="A23" s="170"/>
      <c r="B23" s="170"/>
      <c r="C23" s="130"/>
      <c r="D23" s="112"/>
      <c r="E23" s="74"/>
      <c r="F23" s="167"/>
      <c r="G23" s="167"/>
      <c r="H23" s="74"/>
      <c r="I23" s="74"/>
      <c r="J23" s="74"/>
      <c r="K23" s="171"/>
      <c r="L23" s="168"/>
      <c r="M23" s="74"/>
      <c r="N23" s="74"/>
      <c r="O23" s="169"/>
      <c r="P23" s="169"/>
    </row>
    <row r="24" spans="1:16" ht="38.25">
      <c r="A24" s="89" t="s">
        <v>134</v>
      </c>
      <c r="B24" s="89">
        <v>35</v>
      </c>
      <c r="C24" s="89" t="s">
        <v>83</v>
      </c>
      <c r="D24" s="113" t="s">
        <v>58</v>
      </c>
      <c r="E24" s="27">
        <v>100</v>
      </c>
      <c r="F24" s="6">
        <f>100*191</f>
        <v>19100</v>
      </c>
      <c r="G24" s="27" t="s">
        <v>242</v>
      </c>
      <c r="H24" s="172" t="s">
        <v>243</v>
      </c>
      <c r="I24" s="178">
        <v>67</v>
      </c>
      <c r="J24" s="173">
        <v>6700</v>
      </c>
      <c r="K24" s="178">
        <v>6700</v>
      </c>
      <c r="L24" s="174">
        <v>20</v>
      </c>
      <c r="M24" s="175" t="s">
        <v>244</v>
      </c>
      <c r="N24" s="27">
        <v>42</v>
      </c>
      <c r="O24" s="42">
        <f>50*6700/6700</f>
        <v>50</v>
      </c>
      <c r="P24" s="42">
        <f>SUM(N24:O24)</f>
        <v>92</v>
      </c>
    </row>
    <row r="25" spans="1:16" ht="9" customHeight="1">
      <c r="A25" s="170"/>
      <c r="B25" s="170"/>
      <c r="C25" s="130"/>
      <c r="D25" s="112"/>
      <c r="E25" s="74"/>
      <c r="F25" s="176"/>
      <c r="G25" s="177"/>
      <c r="H25" s="177"/>
      <c r="I25" s="179"/>
      <c r="J25" s="177"/>
      <c r="K25" s="179"/>
      <c r="L25" s="177"/>
      <c r="M25" s="74"/>
      <c r="N25" s="74"/>
      <c r="O25" s="169"/>
      <c r="P25" s="169"/>
    </row>
    <row r="26" spans="1:20" ht="38.25">
      <c r="A26" s="89" t="s">
        <v>134</v>
      </c>
      <c r="B26" s="89">
        <v>36</v>
      </c>
      <c r="C26" s="89" t="s">
        <v>83</v>
      </c>
      <c r="D26" s="113" t="s">
        <v>59</v>
      </c>
      <c r="E26" s="27">
        <v>100</v>
      </c>
      <c r="F26" s="6">
        <f>100*191</f>
        <v>19100</v>
      </c>
      <c r="G26" s="27" t="s">
        <v>242</v>
      </c>
      <c r="H26" s="172" t="s">
        <v>245</v>
      </c>
      <c r="I26" s="178">
        <v>70</v>
      </c>
      <c r="J26" s="173">
        <v>7000</v>
      </c>
      <c r="K26" s="178">
        <v>7000</v>
      </c>
      <c r="L26" s="174">
        <v>20</v>
      </c>
      <c r="M26" s="175" t="s">
        <v>244</v>
      </c>
      <c r="N26" s="27">
        <v>42</v>
      </c>
      <c r="O26" s="42">
        <f>50*7000/7000</f>
        <v>50</v>
      </c>
      <c r="P26" s="42">
        <f>SUM(N26:O26)</f>
        <v>92</v>
      </c>
      <c r="Q26" s="297"/>
      <c r="R26" s="297"/>
      <c r="S26" s="297"/>
      <c r="T26" s="297"/>
    </row>
    <row r="27" ht="12.75">
      <c r="K27" s="106">
        <f>SUM(K2:K26)</f>
        <v>55176.62</v>
      </c>
    </row>
  </sheetData>
  <sheetProtection/>
  <mergeCells count="31">
    <mergeCell ref="B17:B18"/>
    <mergeCell ref="F17:F18"/>
    <mergeCell ref="G17:G18"/>
    <mergeCell ref="Q26:T26"/>
    <mergeCell ref="Q20:T20"/>
    <mergeCell ref="Q22:T22"/>
    <mergeCell ref="O17:O18"/>
    <mergeCell ref="P17:P18"/>
    <mergeCell ref="K4:K7"/>
    <mergeCell ref="G9:G12"/>
    <mergeCell ref="K9:K12"/>
    <mergeCell ref="N17:N18"/>
    <mergeCell ref="K17:K18"/>
    <mergeCell ref="G14:G15"/>
    <mergeCell ref="K14:K15"/>
    <mergeCell ref="G4:G7"/>
    <mergeCell ref="N14:N15"/>
    <mergeCell ref="B14:B15"/>
    <mergeCell ref="F14:F15"/>
    <mergeCell ref="B4:B7"/>
    <mergeCell ref="F4:F7"/>
    <mergeCell ref="B9:B12"/>
    <mergeCell ref="F9:F12"/>
    <mergeCell ref="O14:O15"/>
    <mergeCell ref="P14:P15"/>
    <mergeCell ref="N4:N7"/>
    <mergeCell ref="O4:O7"/>
    <mergeCell ref="P4:P7"/>
    <mergeCell ref="N9:N12"/>
    <mergeCell ref="O9:O12"/>
    <mergeCell ref="P9:P12"/>
  </mergeCells>
  <printOptions/>
  <pageMargins left="0.41" right="0.27" top="0.43" bottom="0.45" header="0.17" footer="0.17"/>
  <pageSetup fitToHeight="2" fitToWidth="1" horizontalDpi="600" verticalDpi="600" orientation="landscape" paperSize="9" scale="70" r:id="rId1"/>
  <headerFooter alignWithMargins="0">
    <oddHeader>&amp;R&amp;F</oddHeader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="75" zoomScaleNormal="75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14" sqref="R14"/>
    </sheetView>
  </sheetViews>
  <sheetFormatPr defaultColWidth="9.140625" defaultRowHeight="12.75"/>
  <cols>
    <col min="1" max="1" width="13.57421875" style="127" customWidth="1"/>
    <col min="2" max="2" width="7.421875" style="1" customWidth="1"/>
    <col min="3" max="3" width="7.421875" style="23" customWidth="1"/>
    <col min="4" max="4" width="73.28125" style="24" customWidth="1"/>
    <col min="5" max="5" width="8.421875" style="1" customWidth="1"/>
    <col min="6" max="7" width="14.28125" style="46" customWidth="1"/>
    <col min="8" max="8" width="9.140625" style="47" customWidth="1"/>
    <col min="9" max="9" width="10.8515625" style="47" customWidth="1"/>
    <col min="10" max="10" width="10.421875" style="47" customWidth="1"/>
    <col min="11" max="11" width="14.421875" style="188" customWidth="1"/>
    <col min="12" max="12" width="5.28125" style="48" customWidth="1"/>
    <col min="13" max="13" width="8.140625" style="47" customWidth="1"/>
    <col min="14" max="14" width="6.140625" style="63" customWidth="1"/>
    <col min="15" max="15" width="6.421875" style="49" customWidth="1"/>
    <col min="16" max="16" width="9.7109375" style="49" customWidth="1"/>
    <col min="17" max="16384" width="9.140625" style="1" customWidth="1"/>
  </cols>
  <sheetData>
    <row r="2" spans="1:16" ht="63.75">
      <c r="A2" s="27" t="s">
        <v>112</v>
      </c>
      <c r="B2" s="28" t="s">
        <v>81</v>
      </c>
      <c r="C2" s="28" t="s">
        <v>82</v>
      </c>
      <c r="D2" s="39" t="s">
        <v>147</v>
      </c>
      <c r="E2" s="28" t="s">
        <v>146</v>
      </c>
      <c r="F2" s="6" t="s">
        <v>148</v>
      </c>
      <c r="G2" s="6" t="s">
        <v>155</v>
      </c>
      <c r="H2" s="40" t="s">
        <v>143</v>
      </c>
      <c r="I2" s="40" t="s">
        <v>150</v>
      </c>
      <c r="J2" s="40" t="s">
        <v>149</v>
      </c>
      <c r="K2" s="90" t="s">
        <v>151</v>
      </c>
      <c r="L2" s="41" t="s">
        <v>144</v>
      </c>
      <c r="M2" s="40" t="s">
        <v>145</v>
      </c>
      <c r="N2" s="193" t="s">
        <v>152</v>
      </c>
      <c r="O2" s="42" t="s">
        <v>153</v>
      </c>
      <c r="P2" s="42" t="s">
        <v>154</v>
      </c>
    </row>
    <row r="3" spans="1:16" ht="26.25" thickBot="1">
      <c r="A3" s="222" t="s">
        <v>135</v>
      </c>
      <c r="B3" s="223">
        <v>37</v>
      </c>
      <c r="C3" s="223" t="s">
        <v>83</v>
      </c>
      <c r="D3" s="224" t="s">
        <v>60</v>
      </c>
      <c r="E3" s="225">
        <v>100</v>
      </c>
      <c r="F3" s="226">
        <f>100*191</f>
        <v>19100</v>
      </c>
      <c r="G3" s="227" t="s">
        <v>242</v>
      </c>
      <c r="H3" s="228" t="s">
        <v>246</v>
      </c>
      <c r="I3" s="229">
        <v>70</v>
      </c>
      <c r="J3" s="230">
        <v>7000</v>
      </c>
      <c r="K3" s="231">
        <v>7000</v>
      </c>
      <c r="L3" s="232">
        <v>20</v>
      </c>
      <c r="M3" s="233" t="s">
        <v>244</v>
      </c>
      <c r="N3" s="234">
        <v>42</v>
      </c>
      <c r="O3" s="235">
        <f>50*7000/7000</f>
        <v>50</v>
      </c>
      <c r="P3" s="235">
        <f>SUM(N3:O3)</f>
        <v>92</v>
      </c>
    </row>
    <row r="4" spans="1:16" ht="9" customHeight="1" thickBot="1">
      <c r="A4" s="170"/>
      <c r="B4" s="181"/>
      <c r="C4" s="67"/>
      <c r="D4" s="68"/>
      <c r="E4" s="181"/>
      <c r="F4" s="182"/>
      <c r="G4" s="183"/>
      <c r="H4" s="183"/>
      <c r="I4" s="183"/>
      <c r="J4" s="183"/>
      <c r="K4" s="190"/>
      <c r="L4" s="183"/>
      <c r="M4" s="181"/>
      <c r="N4" s="184"/>
      <c r="O4" s="185"/>
      <c r="P4" s="185"/>
    </row>
    <row r="5" spans="1:16" ht="33.75" customHeight="1" thickBot="1">
      <c r="A5" s="221" t="s">
        <v>136</v>
      </c>
      <c r="B5" s="53">
        <v>38</v>
      </c>
      <c r="C5" s="53" t="s">
        <v>83</v>
      </c>
      <c r="D5" s="61" t="s">
        <v>68</v>
      </c>
      <c r="E5" s="54">
        <v>100</v>
      </c>
      <c r="F5" s="50">
        <f>100*191</f>
        <v>19100</v>
      </c>
      <c r="G5" s="35" t="s">
        <v>242</v>
      </c>
      <c r="H5" s="55" t="s">
        <v>247</v>
      </c>
      <c r="I5" s="56">
        <v>57</v>
      </c>
      <c r="J5" s="57">
        <v>5700</v>
      </c>
      <c r="K5" s="189">
        <v>5700</v>
      </c>
      <c r="L5" s="58">
        <v>20</v>
      </c>
      <c r="M5" s="59" t="s">
        <v>244</v>
      </c>
      <c r="N5" s="64">
        <v>42</v>
      </c>
      <c r="O5" s="44">
        <f>50*5700/5700</f>
        <v>50</v>
      </c>
      <c r="P5" s="44">
        <f>SUM(N5:O5)</f>
        <v>92</v>
      </c>
    </row>
    <row r="6" spans="1:17" ht="8.25" customHeight="1">
      <c r="A6" s="130"/>
      <c r="B6" s="67"/>
      <c r="C6" s="67"/>
      <c r="D6" s="68"/>
      <c r="E6" s="67"/>
      <c r="F6" s="186"/>
      <c r="G6" s="187"/>
      <c r="H6" s="187"/>
      <c r="I6" s="187"/>
      <c r="J6" s="187"/>
      <c r="K6" s="191"/>
      <c r="L6" s="187"/>
      <c r="M6" s="67"/>
      <c r="N6" s="184"/>
      <c r="O6" s="185"/>
      <c r="P6" s="185"/>
      <c r="Q6" s="181"/>
    </row>
    <row r="7" spans="1:16" s="26" customFormat="1" ht="25.5">
      <c r="A7" s="162" t="s">
        <v>134</v>
      </c>
      <c r="B7" s="28">
        <v>39</v>
      </c>
      <c r="C7" s="28" t="s">
        <v>83</v>
      </c>
      <c r="D7" s="62" t="s">
        <v>14</v>
      </c>
      <c r="E7" s="60">
        <v>6</v>
      </c>
      <c r="F7" s="50">
        <v>1392</v>
      </c>
      <c r="G7" s="35" t="s">
        <v>176</v>
      </c>
      <c r="H7" s="35" t="s">
        <v>200</v>
      </c>
      <c r="I7" s="51">
        <v>166</v>
      </c>
      <c r="J7" s="51">
        <f>E7*I7</f>
        <v>996</v>
      </c>
      <c r="K7" s="192">
        <v>996</v>
      </c>
      <c r="L7" s="52"/>
      <c r="M7" s="35">
        <v>6</v>
      </c>
      <c r="N7" s="64">
        <v>42</v>
      </c>
      <c r="O7" s="44">
        <f>50*996/996</f>
        <v>50</v>
      </c>
      <c r="P7" s="44">
        <f>SUM(N7:O7)</f>
        <v>92</v>
      </c>
    </row>
    <row r="8" spans="1:16" ht="9" customHeight="1">
      <c r="A8" s="170"/>
      <c r="B8" s="181"/>
      <c r="C8" s="67"/>
      <c r="D8" s="68"/>
      <c r="E8" s="181"/>
      <c r="F8" s="216"/>
      <c r="G8" s="216"/>
      <c r="H8" s="180"/>
      <c r="I8" s="180"/>
      <c r="J8" s="180"/>
      <c r="K8" s="217"/>
      <c r="L8" s="218"/>
      <c r="M8" s="180"/>
      <c r="N8" s="219"/>
      <c r="O8" s="220"/>
      <c r="P8" s="220"/>
    </row>
    <row r="9" spans="1:20" ht="25.5">
      <c r="A9" s="89" t="s">
        <v>134</v>
      </c>
      <c r="B9" s="89">
        <v>40</v>
      </c>
      <c r="C9" s="89" t="s">
        <v>83</v>
      </c>
      <c r="D9" s="113" t="s">
        <v>2</v>
      </c>
      <c r="E9" s="27">
        <v>6</v>
      </c>
      <c r="F9" s="6">
        <v>972</v>
      </c>
      <c r="G9" s="27" t="s">
        <v>172</v>
      </c>
      <c r="H9" s="27" t="s">
        <v>175</v>
      </c>
      <c r="I9" s="147">
        <v>88.32</v>
      </c>
      <c r="J9" s="147">
        <f>E9*I9</f>
        <v>529.92</v>
      </c>
      <c r="K9" s="90">
        <v>529.52</v>
      </c>
      <c r="L9" s="122">
        <v>0.2</v>
      </c>
      <c r="M9" s="27">
        <v>10</v>
      </c>
      <c r="N9" s="193">
        <v>41</v>
      </c>
      <c r="O9" s="42">
        <f>50*529.52/529.52</f>
        <v>50</v>
      </c>
      <c r="P9" s="42">
        <f>SUM(N9:O9)</f>
        <v>91</v>
      </c>
      <c r="Q9" s="3"/>
      <c r="R9" s="3"/>
      <c r="S9" s="3"/>
      <c r="T9" s="3"/>
    </row>
    <row r="10" spans="1:20" ht="9" customHeight="1">
      <c r="A10" s="130"/>
      <c r="B10" s="130"/>
      <c r="C10" s="130"/>
      <c r="D10" s="112"/>
      <c r="E10" s="65"/>
      <c r="F10" s="108"/>
      <c r="G10" s="65"/>
      <c r="H10" s="65"/>
      <c r="I10" s="65"/>
      <c r="J10" s="65"/>
      <c r="K10" s="92"/>
      <c r="L10" s="65"/>
      <c r="M10" s="65"/>
      <c r="N10" s="194"/>
      <c r="O10" s="109"/>
      <c r="P10" s="109"/>
      <c r="Q10" s="15"/>
      <c r="R10" s="15"/>
      <c r="S10" s="15"/>
      <c r="T10" s="15"/>
    </row>
    <row r="11" spans="1:20" ht="25.5">
      <c r="A11" s="89" t="s">
        <v>133</v>
      </c>
      <c r="B11" s="89">
        <v>41</v>
      </c>
      <c r="C11" s="89" t="s">
        <v>83</v>
      </c>
      <c r="D11" s="113" t="s">
        <v>74</v>
      </c>
      <c r="E11" s="27">
        <v>50</v>
      </c>
      <c r="F11" s="6">
        <v>5850</v>
      </c>
      <c r="G11" s="27" t="s">
        <v>236</v>
      </c>
      <c r="H11" s="27" t="s">
        <v>240</v>
      </c>
      <c r="I11" s="27">
        <v>14</v>
      </c>
      <c r="J11" s="27">
        <v>700</v>
      </c>
      <c r="K11" s="90">
        <v>700</v>
      </c>
      <c r="L11" s="122">
        <v>0.2</v>
      </c>
      <c r="M11" s="27">
        <v>1</v>
      </c>
      <c r="N11" s="193">
        <v>42</v>
      </c>
      <c r="O11" s="42">
        <f>50*700/700</f>
        <v>50</v>
      </c>
      <c r="P11" s="42">
        <f>SUM(N11:O11)</f>
        <v>92</v>
      </c>
      <c r="Q11" s="297"/>
      <c r="R11" s="297"/>
      <c r="S11" s="297"/>
      <c r="T11" s="297"/>
    </row>
    <row r="12" spans="1:20" ht="9" customHeight="1">
      <c r="A12" s="130"/>
      <c r="B12" s="130"/>
      <c r="C12" s="130"/>
      <c r="D12" s="112"/>
      <c r="E12" s="65"/>
      <c r="F12" s="108"/>
      <c r="G12" s="65"/>
      <c r="H12" s="65"/>
      <c r="I12" s="65"/>
      <c r="J12" s="65"/>
      <c r="K12" s="92"/>
      <c r="L12" s="65"/>
      <c r="M12" s="65"/>
      <c r="N12" s="194"/>
      <c r="O12" s="109"/>
      <c r="P12" s="109"/>
      <c r="Q12" s="115"/>
      <c r="R12" s="15"/>
      <c r="S12" s="15"/>
      <c r="T12" s="15"/>
    </row>
    <row r="13" spans="1:20" ht="25.5">
      <c r="A13" s="89" t="s">
        <v>137</v>
      </c>
      <c r="B13" s="277">
        <v>42</v>
      </c>
      <c r="C13" s="89" t="s">
        <v>83</v>
      </c>
      <c r="D13" s="113" t="s">
        <v>64</v>
      </c>
      <c r="E13" s="27">
        <v>60</v>
      </c>
      <c r="F13" s="278">
        <f>(60*172)+(60*90)+(6*90)</f>
        <v>16260</v>
      </c>
      <c r="G13" s="273" t="s">
        <v>176</v>
      </c>
      <c r="H13" s="27" t="s">
        <v>201</v>
      </c>
      <c r="I13" s="121">
        <v>163</v>
      </c>
      <c r="J13" s="121">
        <f>E13*I13</f>
        <v>9780</v>
      </c>
      <c r="K13" s="280">
        <f>J13+J14+J15</f>
        <v>15390</v>
      </c>
      <c r="L13" s="122">
        <v>0.2</v>
      </c>
      <c r="M13" s="27">
        <v>5</v>
      </c>
      <c r="N13" s="298">
        <v>42</v>
      </c>
      <c r="O13" s="274">
        <v>50</v>
      </c>
      <c r="P13" s="274">
        <f>SUM(N13:O13)</f>
        <v>92</v>
      </c>
      <c r="Q13" s="3"/>
      <c r="R13" s="3"/>
      <c r="S13" s="3"/>
      <c r="T13" s="3"/>
    </row>
    <row r="14" spans="1:20" ht="51">
      <c r="A14" s="89" t="s">
        <v>138</v>
      </c>
      <c r="B14" s="277"/>
      <c r="C14" s="89" t="s">
        <v>84</v>
      </c>
      <c r="D14" s="113" t="s">
        <v>61</v>
      </c>
      <c r="E14" s="27">
        <v>60</v>
      </c>
      <c r="F14" s="278"/>
      <c r="G14" s="273"/>
      <c r="H14" s="27" t="s">
        <v>202</v>
      </c>
      <c r="I14" s="121">
        <v>85</v>
      </c>
      <c r="J14" s="121">
        <f>E14*I14</f>
        <v>5100</v>
      </c>
      <c r="K14" s="280"/>
      <c r="L14" s="122">
        <v>0.2</v>
      </c>
      <c r="M14" s="27">
        <v>5</v>
      </c>
      <c r="N14" s="298"/>
      <c r="O14" s="274"/>
      <c r="P14" s="274"/>
      <c r="Q14" s="3"/>
      <c r="R14" s="3"/>
      <c r="S14" s="3"/>
      <c r="T14" s="3"/>
    </row>
    <row r="15" spans="1:20" ht="25.5">
      <c r="A15" s="89" t="s">
        <v>138</v>
      </c>
      <c r="B15" s="277"/>
      <c r="C15" s="89" t="s">
        <v>85</v>
      </c>
      <c r="D15" s="113" t="s">
        <v>15</v>
      </c>
      <c r="E15" s="27">
        <v>6</v>
      </c>
      <c r="F15" s="278"/>
      <c r="G15" s="273"/>
      <c r="H15" s="27" t="s">
        <v>203</v>
      </c>
      <c r="I15" s="121">
        <v>85</v>
      </c>
      <c r="J15" s="121">
        <f>E15*I15</f>
        <v>510</v>
      </c>
      <c r="K15" s="280"/>
      <c r="L15" s="122">
        <v>0.2</v>
      </c>
      <c r="M15" s="27">
        <v>5</v>
      </c>
      <c r="N15" s="298"/>
      <c r="O15" s="274"/>
      <c r="P15" s="274"/>
      <c r="Q15" s="3"/>
      <c r="R15" s="3"/>
      <c r="S15" s="3"/>
      <c r="T15" s="3"/>
    </row>
    <row r="16" spans="1:20" ht="9" customHeight="1">
      <c r="A16" s="130"/>
      <c r="B16" s="130"/>
      <c r="C16" s="130"/>
      <c r="D16" s="112"/>
      <c r="E16" s="65"/>
      <c r="F16" s="108"/>
      <c r="G16" s="65"/>
      <c r="H16" s="65"/>
      <c r="I16" s="65"/>
      <c r="J16" s="65"/>
      <c r="K16" s="92"/>
      <c r="L16" s="65"/>
      <c r="M16" s="65"/>
      <c r="N16" s="194"/>
      <c r="O16" s="109"/>
      <c r="P16" s="109"/>
      <c r="Q16" s="15"/>
      <c r="R16" s="15"/>
      <c r="S16" s="15"/>
      <c r="T16" s="15"/>
    </row>
    <row r="17" spans="1:20" ht="25.5">
      <c r="A17" s="89"/>
      <c r="B17" s="89">
        <v>43</v>
      </c>
      <c r="C17" s="89" t="s">
        <v>83</v>
      </c>
      <c r="D17" s="113" t="s">
        <v>16</v>
      </c>
      <c r="E17" s="27">
        <v>6</v>
      </c>
      <c r="F17" s="6">
        <v>4380</v>
      </c>
      <c r="G17" s="27" t="s">
        <v>176</v>
      </c>
      <c r="H17" s="27" t="s">
        <v>204</v>
      </c>
      <c r="I17" s="121">
        <v>46.5</v>
      </c>
      <c r="J17" s="121">
        <f>E17*I17</f>
        <v>279</v>
      </c>
      <c r="K17" s="164">
        <v>279</v>
      </c>
      <c r="L17" s="122">
        <v>0.2</v>
      </c>
      <c r="M17" s="27">
        <v>5</v>
      </c>
      <c r="N17" s="193">
        <v>42</v>
      </c>
      <c r="O17" s="42">
        <v>50</v>
      </c>
      <c r="P17" s="42">
        <f>SUM(N17:O17)</f>
        <v>92</v>
      </c>
      <c r="Q17" s="3"/>
      <c r="R17" s="3"/>
      <c r="S17" s="3"/>
      <c r="T17" s="3"/>
    </row>
    <row r="18" spans="1:16" ht="9" customHeight="1">
      <c r="A18" s="170"/>
      <c r="B18" s="181"/>
      <c r="C18" s="67"/>
      <c r="D18" s="68"/>
      <c r="E18" s="181"/>
      <c r="F18" s="216"/>
      <c r="G18" s="216"/>
      <c r="H18" s="180"/>
      <c r="I18" s="180"/>
      <c r="J18" s="180"/>
      <c r="K18" s="217"/>
      <c r="L18" s="218"/>
      <c r="M18" s="180"/>
      <c r="N18" s="219"/>
      <c r="O18" s="220"/>
      <c r="P18" s="220"/>
    </row>
    <row r="19" spans="1:20" ht="25.5">
      <c r="A19" s="89" t="s">
        <v>139</v>
      </c>
      <c r="B19" s="89">
        <v>44</v>
      </c>
      <c r="C19" s="89" t="s">
        <v>83</v>
      </c>
      <c r="D19" s="113" t="s">
        <v>21</v>
      </c>
      <c r="E19" s="27">
        <v>12</v>
      </c>
      <c r="F19" s="6">
        <v>1128</v>
      </c>
      <c r="G19" s="27" t="s">
        <v>236</v>
      </c>
      <c r="H19" s="27" t="s">
        <v>241</v>
      </c>
      <c r="I19" s="27">
        <v>14</v>
      </c>
      <c r="J19" s="27">
        <v>168</v>
      </c>
      <c r="K19" s="90">
        <v>168</v>
      </c>
      <c r="L19" s="122">
        <v>0.2</v>
      </c>
      <c r="M19" s="27">
        <v>1</v>
      </c>
      <c r="N19" s="193">
        <v>42</v>
      </c>
      <c r="O19" s="42">
        <f>50*168/168</f>
        <v>50</v>
      </c>
      <c r="P19" s="42">
        <f>SUM(N19:O19)</f>
        <v>92</v>
      </c>
      <c r="Q19" s="3"/>
      <c r="R19" s="3"/>
      <c r="S19" s="3"/>
      <c r="T19" s="3"/>
    </row>
    <row r="20" spans="1:20" ht="9" customHeight="1">
      <c r="A20" s="130"/>
      <c r="B20" s="130"/>
      <c r="C20" s="130"/>
      <c r="D20" s="112"/>
      <c r="E20" s="65"/>
      <c r="F20" s="108"/>
      <c r="G20" s="65"/>
      <c r="H20" s="65"/>
      <c r="I20" s="65"/>
      <c r="J20" s="65"/>
      <c r="K20" s="92"/>
      <c r="L20" s="65"/>
      <c r="M20" s="65"/>
      <c r="N20" s="194"/>
      <c r="O20" s="109"/>
      <c r="P20" s="109"/>
      <c r="Q20" s="15"/>
      <c r="R20" s="15"/>
      <c r="S20" s="15"/>
      <c r="T20" s="15"/>
    </row>
    <row r="21" spans="1:20" ht="12.75">
      <c r="A21" s="89" t="s">
        <v>127</v>
      </c>
      <c r="B21" s="277">
        <v>45</v>
      </c>
      <c r="C21" s="89" t="s">
        <v>83</v>
      </c>
      <c r="D21" s="113" t="s">
        <v>94</v>
      </c>
      <c r="E21" s="27">
        <v>6</v>
      </c>
      <c r="F21" s="278">
        <f>6*132+6*159</f>
        <v>1746</v>
      </c>
      <c r="G21" s="273" t="s">
        <v>172</v>
      </c>
      <c r="H21" s="27" t="s">
        <v>174</v>
      </c>
      <c r="I21" s="147">
        <v>57.6</v>
      </c>
      <c r="J21" s="147">
        <f>E21*I21</f>
        <v>345.6</v>
      </c>
      <c r="K21" s="280">
        <f>J21+J22</f>
        <v>777.6</v>
      </c>
      <c r="L21" s="122">
        <v>0.2</v>
      </c>
      <c r="M21" s="27">
        <v>6</v>
      </c>
      <c r="N21" s="298">
        <v>40</v>
      </c>
      <c r="O21" s="274">
        <f>50*777.6/777.6</f>
        <v>50</v>
      </c>
      <c r="P21" s="274">
        <f>SUM(N21:O21)</f>
        <v>90</v>
      </c>
      <c r="Q21" s="297"/>
      <c r="R21" s="297"/>
      <c r="S21" s="297"/>
      <c r="T21" s="297"/>
    </row>
    <row r="22" spans="1:20" ht="25.5">
      <c r="A22" s="89" t="s">
        <v>127</v>
      </c>
      <c r="B22" s="277"/>
      <c r="C22" s="89" t="s">
        <v>84</v>
      </c>
      <c r="D22" s="113" t="s">
        <v>22</v>
      </c>
      <c r="E22" s="27">
        <v>6</v>
      </c>
      <c r="F22" s="278"/>
      <c r="G22" s="273"/>
      <c r="H22" s="27" t="s">
        <v>173</v>
      </c>
      <c r="I22" s="147">
        <v>72</v>
      </c>
      <c r="J22" s="147">
        <f>E22*I22</f>
        <v>432</v>
      </c>
      <c r="K22" s="280"/>
      <c r="L22" s="122">
        <v>0.2</v>
      </c>
      <c r="M22" s="27">
        <v>6</v>
      </c>
      <c r="N22" s="298"/>
      <c r="O22" s="274"/>
      <c r="P22" s="274"/>
      <c r="Q22" s="297"/>
      <c r="R22" s="297"/>
      <c r="S22" s="297"/>
      <c r="T22" s="297"/>
    </row>
    <row r="23" spans="1:20" ht="9" customHeight="1">
      <c r="A23" s="130"/>
      <c r="B23" s="130"/>
      <c r="C23" s="130"/>
      <c r="D23" s="112"/>
      <c r="E23" s="65"/>
      <c r="F23" s="108"/>
      <c r="G23" s="65"/>
      <c r="H23" s="65"/>
      <c r="I23" s="65"/>
      <c r="J23" s="65"/>
      <c r="K23" s="92"/>
      <c r="L23" s="65"/>
      <c r="M23" s="65"/>
      <c r="N23" s="194"/>
      <c r="O23" s="109"/>
      <c r="P23" s="109"/>
      <c r="Q23" s="15"/>
      <c r="R23" s="15"/>
      <c r="S23" s="15"/>
      <c r="T23" s="15"/>
    </row>
    <row r="24" spans="1:20" ht="12.75">
      <c r="A24" s="213" t="s">
        <v>140</v>
      </c>
      <c r="B24" s="213">
        <v>46</v>
      </c>
      <c r="C24" s="213" t="s">
        <v>83</v>
      </c>
      <c r="D24" s="214" t="s">
        <v>4</v>
      </c>
      <c r="E24" s="31">
        <v>6</v>
      </c>
      <c r="F24" s="120">
        <v>1080</v>
      </c>
      <c r="G24" s="31" t="s">
        <v>229</v>
      </c>
      <c r="H24" s="31">
        <v>41510</v>
      </c>
      <c r="I24" s="125">
        <v>150</v>
      </c>
      <c r="J24" s="125">
        <v>900</v>
      </c>
      <c r="K24" s="129">
        <v>900</v>
      </c>
      <c r="L24" s="126">
        <v>0.2</v>
      </c>
      <c r="M24" s="31" t="s">
        <v>230</v>
      </c>
      <c r="N24" s="195">
        <v>41</v>
      </c>
      <c r="O24" s="125">
        <f>50*900/900</f>
        <v>50</v>
      </c>
      <c r="P24" s="125">
        <f>SUM(N24:O24)</f>
        <v>91</v>
      </c>
      <c r="Q24" s="118"/>
      <c r="R24" s="118"/>
      <c r="S24" s="118"/>
      <c r="T24" s="118"/>
    </row>
    <row r="25" spans="1:20" ht="9" customHeight="1">
      <c r="A25" s="130"/>
      <c r="B25" s="130"/>
      <c r="C25" s="130"/>
      <c r="D25" s="112"/>
      <c r="E25" s="65"/>
      <c r="F25" s="108"/>
      <c r="G25" s="65"/>
      <c r="H25" s="65"/>
      <c r="I25" s="65"/>
      <c r="J25" s="65"/>
      <c r="K25" s="92"/>
      <c r="L25" s="65"/>
      <c r="M25" s="65"/>
      <c r="N25" s="194"/>
      <c r="O25" s="109"/>
      <c r="P25" s="109"/>
      <c r="Q25" s="15"/>
      <c r="R25" s="15"/>
      <c r="S25" s="15"/>
      <c r="T25" s="15"/>
    </row>
    <row r="26" spans="1:16" ht="38.25">
      <c r="A26" s="277" t="s">
        <v>141</v>
      </c>
      <c r="B26" s="277">
        <v>47</v>
      </c>
      <c r="C26" s="277" t="s">
        <v>83</v>
      </c>
      <c r="D26" s="299" t="s">
        <v>5</v>
      </c>
      <c r="E26" s="273">
        <v>6</v>
      </c>
      <c r="F26" s="278">
        <v>870</v>
      </c>
      <c r="G26" s="273" t="s">
        <v>242</v>
      </c>
      <c r="H26" s="172" t="s">
        <v>248</v>
      </c>
      <c r="I26" s="273">
        <v>60</v>
      </c>
      <c r="J26" s="273">
        <v>360</v>
      </c>
      <c r="K26" s="300">
        <v>360</v>
      </c>
      <c r="L26" s="301">
        <v>20</v>
      </c>
      <c r="M26" s="175" t="s">
        <v>244</v>
      </c>
      <c r="N26" s="298">
        <v>42</v>
      </c>
      <c r="O26" s="274">
        <f>50*360/360</f>
        <v>50</v>
      </c>
      <c r="P26" s="274">
        <f>SUM(N26:O26)</f>
        <v>92</v>
      </c>
    </row>
    <row r="27" spans="1:16" ht="38.25">
      <c r="A27" s="277"/>
      <c r="B27" s="277"/>
      <c r="C27" s="277"/>
      <c r="D27" s="299"/>
      <c r="E27" s="273"/>
      <c r="F27" s="278"/>
      <c r="G27" s="273"/>
      <c r="H27" s="172" t="s">
        <v>249</v>
      </c>
      <c r="I27" s="273"/>
      <c r="J27" s="273"/>
      <c r="K27" s="300"/>
      <c r="L27" s="301"/>
      <c r="M27" s="175" t="s">
        <v>244</v>
      </c>
      <c r="N27" s="298"/>
      <c r="O27" s="274"/>
      <c r="P27" s="274"/>
    </row>
    <row r="28" spans="1:16" ht="9" customHeight="1">
      <c r="A28" s="130"/>
      <c r="B28" s="130"/>
      <c r="C28" s="130"/>
      <c r="D28" s="112"/>
      <c r="E28" s="65"/>
      <c r="F28" s="108"/>
      <c r="G28" s="65"/>
      <c r="H28" s="65"/>
      <c r="I28" s="65"/>
      <c r="J28" s="65"/>
      <c r="K28" s="92"/>
      <c r="L28" s="65"/>
      <c r="M28" s="65"/>
      <c r="N28" s="194"/>
      <c r="O28" s="109"/>
      <c r="P28" s="109"/>
    </row>
    <row r="29" spans="1:16" ht="25.5">
      <c r="A29" s="89" t="s">
        <v>142</v>
      </c>
      <c r="B29" s="89">
        <v>48</v>
      </c>
      <c r="C29" s="89" t="s">
        <v>83</v>
      </c>
      <c r="D29" s="113" t="s">
        <v>62</v>
      </c>
      <c r="E29" s="27">
        <v>20</v>
      </c>
      <c r="F29" s="6">
        <f>20*43</f>
        <v>860</v>
      </c>
      <c r="G29" s="27" t="s">
        <v>242</v>
      </c>
      <c r="H29" s="172" t="s">
        <v>250</v>
      </c>
      <c r="I29" s="173">
        <v>11</v>
      </c>
      <c r="J29" s="173">
        <v>220</v>
      </c>
      <c r="K29" s="178">
        <v>220</v>
      </c>
      <c r="L29" s="174">
        <v>20</v>
      </c>
      <c r="M29" s="175" t="s">
        <v>251</v>
      </c>
      <c r="N29" s="193">
        <v>42</v>
      </c>
      <c r="O29" s="42">
        <f>50*220/220</f>
        <v>50</v>
      </c>
      <c r="P29" s="42">
        <f>SUM(N29:O29)</f>
        <v>92</v>
      </c>
    </row>
    <row r="30" ht="12.75">
      <c r="K30" s="188">
        <f>SUM(K3:K29)</f>
        <v>33020.119999999995</v>
      </c>
    </row>
  </sheetData>
  <sheetProtection/>
  <mergeCells count="30">
    <mergeCell ref="N26:N27"/>
    <mergeCell ref="O26:O27"/>
    <mergeCell ref="P26:P27"/>
    <mergeCell ref="I26:I27"/>
    <mergeCell ref="J26:J27"/>
    <mergeCell ref="L26:L27"/>
    <mergeCell ref="G26:G27"/>
    <mergeCell ref="K26:K27"/>
    <mergeCell ref="F26:F27"/>
    <mergeCell ref="E26:E27"/>
    <mergeCell ref="B26:B27"/>
    <mergeCell ref="A26:A27"/>
    <mergeCell ref="D26:D27"/>
    <mergeCell ref="C26:C27"/>
    <mergeCell ref="Q21:T22"/>
    <mergeCell ref="G21:G22"/>
    <mergeCell ref="B21:B22"/>
    <mergeCell ref="F21:F22"/>
    <mergeCell ref="N21:N22"/>
    <mergeCell ref="O21:O22"/>
    <mergeCell ref="P21:P22"/>
    <mergeCell ref="K21:K22"/>
    <mergeCell ref="B13:B15"/>
    <mergeCell ref="F13:F15"/>
    <mergeCell ref="G13:G15"/>
    <mergeCell ref="N13:N15"/>
    <mergeCell ref="Q11:T11"/>
    <mergeCell ref="O13:O15"/>
    <mergeCell ref="P13:P15"/>
    <mergeCell ref="K13:K15"/>
  </mergeCells>
  <printOptions/>
  <pageMargins left="0.41" right="0.17" top="0.48" bottom="0.45" header="0.17" footer="0.17"/>
  <pageSetup fitToHeight="5" horizontalDpi="600" verticalDpi="600" orientation="landscape" paperSize="9" scale="65" r:id="rId1"/>
  <headerFooter alignWithMargins="0">
    <oddHeader>&amp;R&amp;F</oddHeader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="75" zoomScaleNormal="75" workbookViewId="0" topLeftCell="E16">
      <selection activeCell="O37" sqref="O37"/>
    </sheetView>
  </sheetViews>
  <sheetFormatPr defaultColWidth="9.140625" defaultRowHeight="12.75"/>
  <cols>
    <col min="1" max="1" width="12.421875" style="127" customWidth="1"/>
    <col min="2" max="2" width="4.7109375" style="208" customWidth="1"/>
    <col min="3" max="3" width="6.7109375" style="196" customWidth="1"/>
    <col min="4" max="4" width="62.57421875" style="207" customWidth="1"/>
    <col min="5" max="5" width="8.28125" style="145" customWidth="1"/>
    <col min="6" max="6" width="11.57421875" style="2" customWidth="1"/>
    <col min="7" max="7" width="14.00390625" style="2" customWidth="1"/>
    <col min="8" max="8" width="11.00390625" style="145" customWidth="1"/>
    <col min="9" max="9" width="8.421875" style="145" customWidth="1"/>
    <col min="10" max="10" width="11.57421875" style="145" customWidth="1"/>
    <col min="11" max="11" width="15.8515625" style="211" customWidth="1"/>
    <col min="12" max="12" width="6.140625" style="197" customWidth="1"/>
    <col min="13" max="13" width="6.00390625" style="145" customWidth="1"/>
    <col min="14" max="14" width="8.28125" style="198" customWidth="1"/>
    <col min="15" max="15" width="6.421875" style="197" customWidth="1"/>
    <col min="16" max="16" width="9.28125" style="145" customWidth="1"/>
    <col min="17" max="16384" width="9.140625" style="145" customWidth="1"/>
  </cols>
  <sheetData>
    <row r="1" ht="12.75">
      <c r="D1" s="205"/>
    </row>
    <row r="2" spans="1:16" s="3" customFormat="1" ht="63.75">
      <c r="A2" s="27" t="s">
        <v>112</v>
      </c>
      <c r="B2" s="27" t="s">
        <v>81</v>
      </c>
      <c r="C2" s="27" t="s">
        <v>82</v>
      </c>
      <c r="D2" s="27" t="s">
        <v>147</v>
      </c>
      <c r="E2" s="27" t="s">
        <v>146</v>
      </c>
      <c r="F2" s="6" t="s">
        <v>148</v>
      </c>
      <c r="G2" s="6" t="s">
        <v>155</v>
      </c>
      <c r="H2" s="40" t="s">
        <v>143</v>
      </c>
      <c r="I2" s="40" t="s">
        <v>150</v>
      </c>
      <c r="J2" s="40" t="s">
        <v>149</v>
      </c>
      <c r="K2" s="90" t="s">
        <v>151</v>
      </c>
      <c r="L2" s="41" t="s">
        <v>144</v>
      </c>
      <c r="M2" s="40" t="s">
        <v>145</v>
      </c>
      <c r="N2" s="193" t="s">
        <v>152</v>
      </c>
      <c r="O2" s="41" t="s">
        <v>153</v>
      </c>
      <c r="P2" s="40" t="s">
        <v>154</v>
      </c>
    </row>
    <row r="3" spans="1:16" ht="27" customHeight="1">
      <c r="A3" s="89"/>
      <c r="B3" s="304">
        <v>49</v>
      </c>
      <c r="C3" s="89" t="s">
        <v>83</v>
      </c>
      <c r="D3" s="113" t="s">
        <v>23</v>
      </c>
      <c r="E3" s="144">
        <v>1</v>
      </c>
      <c r="F3" s="305">
        <f>502*12</f>
        <v>6024</v>
      </c>
      <c r="G3" s="303" t="s">
        <v>211</v>
      </c>
      <c r="H3" s="31">
        <v>8886808200</v>
      </c>
      <c r="I3" s="199">
        <v>476.9</v>
      </c>
      <c r="J3" s="199">
        <v>476.9</v>
      </c>
      <c r="K3" s="310">
        <v>5722.8</v>
      </c>
      <c r="L3" s="200">
        <v>0.2</v>
      </c>
      <c r="M3" s="201">
        <v>1</v>
      </c>
      <c r="N3" s="302">
        <v>41</v>
      </c>
      <c r="O3" s="303">
        <v>50</v>
      </c>
      <c r="P3" s="303">
        <v>91</v>
      </c>
    </row>
    <row r="4" spans="1:16" ht="27" customHeight="1">
      <c r="A4" s="89"/>
      <c r="B4" s="304"/>
      <c r="C4" s="89" t="s">
        <v>84</v>
      </c>
      <c r="D4" s="113" t="s">
        <v>24</v>
      </c>
      <c r="E4" s="144">
        <v>1</v>
      </c>
      <c r="F4" s="305"/>
      <c r="G4" s="303"/>
      <c r="H4" s="31">
        <v>8886808300</v>
      </c>
      <c r="I4" s="199">
        <v>476.9</v>
      </c>
      <c r="J4" s="199">
        <v>476.9</v>
      </c>
      <c r="K4" s="310"/>
      <c r="L4" s="200">
        <v>0.2</v>
      </c>
      <c r="M4" s="201">
        <v>1</v>
      </c>
      <c r="N4" s="302"/>
      <c r="O4" s="303"/>
      <c r="P4" s="303"/>
    </row>
    <row r="5" spans="1:16" ht="27" customHeight="1">
      <c r="A5" s="89"/>
      <c r="B5" s="304"/>
      <c r="C5" s="89" t="s">
        <v>85</v>
      </c>
      <c r="D5" s="113" t="s">
        <v>25</v>
      </c>
      <c r="E5" s="144">
        <v>1</v>
      </c>
      <c r="F5" s="305"/>
      <c r="G5" s="303"/>
      <c r="H5" s="31">
        <v>8886808400</v>
      </c>
      <c r="I5" s="199">
        <v>476.9</v>
      </c>
      <c r="J5" s="199">
        <v>476.9</v>
      </c>
      <c r="K5" s="310"/>
      <c r="L5" s="200">
        <v>0.2</v>
      </c>
      <c r="M5" s="201">
        <v>1</v>
      </c>
      <c r="N5" s="302"/>
      <c r="O5" s="303"/>
      <c r="P5" s="303"/>
    </row>
    <row r="6" spans="1:16" ht="27" customHeight="1">
      <c r="A6" s="89"/>
      <c r="B6" s="304"/>
      <c r="C6" s="89" t="s">
        <v>86</v>
      </c>
      <c r="D6" s="113" t="s">
        <v>26</v>
      </c>
      <c r="E6" s="144">
        <v>1</v>
      </c>
      <c r="F6" s="305"/>
      <c r="G6" s="303"/>
      <c r="H6" s="31">
        <v>8886808700</v>
      </c>
      <c r="I6" s="199">
        <v>476.9</v>
      </c>
      <c r="J6" s="199">
        <v>476.9</v>
      </c>
      <c r="K6" s="310"/>
      <c r="L6" s="200">
        <v>0.2</v>
      </c>
      <c r="M6" s="201">
        <v>1</v>
      </c>
      <c r="N6" s="302"/>
      <c r="O6" s="303"/>
      <c r="P6" s="303"/>
    </row>
    <row r="7" spans="1:16" ht="27" customHeight="1">
      <c r="A7" s="89"/>
      <c r="B7" s="304"/>
      <c r="C7" s="89" t="s">
        <v>87</v>
      </c>
      <c r="D7" s="113" t="s">
        <v>27</v>
      </c>
      <c r="E7" s="144">
        <v>1</v>
      </c>
      <c r="F7" s="305"/>
      <c r="G7" s="303"/>
      <c r="H7" s="31">
        <v>8886808800</v>
      </c>
      <c r="I7" s="199">
        <v>476.9</v>
      </c>
      <c r="J7" s="199">
        <v>476.9</v>
      </c>
      <c r="K7" s="310"/>
      <c r="L7" s="200">
        <v>0.2</v>
      </c>
      <c r="M7" s="201">
        <v>1</v>
      </c>
      <c r="N7" s="302"/>
      <c r="O7" s="303"/>
      <c r="P7" s="303"/>
    </row>
    <row r="8" spans="1:16" ht="27" customHeight="1">
      <c r="A8" s="89"/>
      <c r="B8" s="304"/>
      <c r="C8" s="89" t="s">
        <v>88</v>
      </c>
      <c r="D8" s="113" t="s">
        <v>28</v>
      </c>
      <c r="E8" s="144">
        <v>1</v>
      </c>
      <c r="F8" s="305"/>
      <c r="G8" s="303"/>
      <c r="H8" s="31">
        <v>8886808800</v>
      </c>
      <c r="I8" s="199">
        <v>476.9</v>
      </c>
      <c r="J8" s="199">
        <v>476.9</v>
      </c>
      <c r="K8" s="310"/>
      <c r="L8" s="200">
        <v>0.2</v>
      </c>
      <c r="M8" s="201">
        <v>1</v>
      </c>
      <c r="N8" s="302"/>
      <c r="O8" s="303"/>
      <c r="P8" s="303"/>
    </row>
    <row r="9" spans="1:16" ht="27" customHeight="1">
      <c r="A9" s="89"/>
      <c r="B9" s="304"/>
      <c r="C9" s="89" t="s">
        <v>95</v>
      </c>
      <c r="D9" s="113" t="s">
        <v>29</v>
      </c>
      <c r="E9" s="144">
        <v>1</v>
      </c>
      <c r="F9" s="305"/>
      <c r="G9" s="303"/>
      <c r="H9" s="31">
        <v>8886808900</v>
      </c>
      <c r="I9" s="199">
        <v>476.9</v>
      </c>
      <c r="J9" s="199">
        <v>476.9</v>
      </c>
      <c r="K9" s="310"/>
      <c r="L9" s="200">
        <v>0.2</v>
      </c>
      <c r="M9" s="201">
        <v>1</v>
      </c>
      <c r="N9" s="302"/>
      <c r="O9" s="303"/>
      <c r="P9" s="303"/>
    </row>
    <row r="10" spans="1:16" ht="27" customHeight="1">
      <c r="A10" s="89"/>
      <c r="B10" s="304"/>
      <c r="C10" s="89" t="s">
        <v>96</v>
      </c>
      <c r="D10" s="113" t="s">
        <v>30</v>
      </c>
      <c r="E10" s="144">
        <v>1</v>
      </c>
      <c r="F10" s="305"/>
      <c r="G10" s="303"/>
      <c r="H10" s="31">
        <v>8886809000</v>
      </c>
      <c r="I10" s="199">
        <v>476.9</v>
      </c>
      <c r="J10" s="199">
        <v>476.9</v>
      </c>
      <c r="K10" s="310"/>
      <c r="L10" s="200">
        <v>0.2</v>
      </c>
      <c r="M10" s="201">
        <v>1</v>
      </c>
      <c r="N10" s="302"/>
      <c r="O10" s="303"/>
      <c r="P10" s="303"/>
    </row>
    <row r="11" spans="1:16" ht="27" customHeight="1">
      <c r="A11" s="89"/>
      <c r="B11" s="304"/>
      <c r="C11" s="89" t="s">
        <v>97</v>
      </c>
      <c r="D11" s="113" t="s">
        <v>31</v>
      </c>
      <c r="E11" s="144">
        <v>1</v>
      </c>
      <c r="F11" s="305"/>
      <c r="G11" s="303"/>
      <c r="H11" s="31">
        <v>8886809000</v>
      </c>
      <c r="I11" s="199">
        <v>476.9</v>
      </c>
      <c r="J11" s="199">
        <v>476.9</v>
      </c>
      <c r="K11" s="310"/>
      <c r="L11" s="200">
        <v>0.2</v>
      </c>
      <c r="M11" s="201">
        <v>1</v>
      </c>
      <c r="N11" s="302"/>
      <c r="O11" s="303"/>
      <c r="P11" s="303"/>
    </row>
    <row r="12" spans="1:16" ht="27" customHeight="1">
      <c r="A12" s="89"/>
      <c r="B12" s="304"/>
      <c r="C12" s="89" t="s">
        <v>98</v>
      </c>
      <c r="D12" s="113" t="s">
        <v>32</v>
      </c>
      <c r="E12" s="144">
        <v>1</v>
      </c>
      <c r="F12" s="305"/>
      <c r="G12" s="303"/>
      <c r="H12" s="31">
        <v>8886809100</v>
      </c>
      <c r="I12" s="199">
        <v>476.9</v>
      </c>
      <c r="J12" s="199">
        <v>476.9</v>
      </c>
      <c r="K12" s="310"/>
      <c r="L12" s="200">
        <v>0.2</v>
      </c>
      <c r="M12" s="201">
        <v>1</v>
      </c>
      <c r="N12" s="302"/>
      <c r="O12" s="303"/>
      <c r="P12" s="303"/>
    </row>
    <row r="13" spans="1:16" ht="27" customHeight="1">
      <c r="A13" s="89"/>
      <c r="B13" s="304"/>
      <c r="C13" s="89" t="s">
        <v>99</v>
      </c>
      <c r="D13" s="113" t="s">
        <v>33</v>
      </c>
      <c r="E13" s="144">
        <v>1</v>
      </c>
      <c r="F13" s="305"/>
      <c r="G13" s="303"/>
      <c r="H13" s="31">
        <v>8886809100</v>
      </c>
      <c r="I13" s="199">
        <v>476.9</v>
      </c>
      <c r="J13" s="199">
        <v>476.9</v>
      </c>
      <c r="K13" s="310"/>
      <c r="L13" s="200">
        <v>0.2</v>
      </c>
      <c r="M13" s="201">
        <v>1</v>
      </c>
      <c r="N13" s="302"/>
      <c r="O13" s="303"/>
      <c r="P13" s="303"/>
    </row>
    <row r="14" spans="1:16" ht="27" customHeight="1">
      <c r="A14" s="89"/>
      <c r="B14" s="304"/>
      <c r="C14" s="89" t="s">
        <v>100</v>
      </c>
      <c r="D14" s="113" t="s">
        <v>34</v>
      </c>
      <c r="E14" s="144">
        <v>1</v>
      </c>
      <c r="F14" s="305"/>
      <c r="G14" s="303"/>
      <c r="H14" s="31">
        <v>8886809200</v>
      </c>
      <c r="I14" s="199">
        <v>476.9</v>
      </c>
      <c r="J14" s="199">
        <v>476.9</v>
      </c>
      <c r="K14" s="310"/>
      <c r="L14" s="200">
        <v>0.2</v>
      </c>
      <c r="M14" s="201">
        <v>1</v>
      </c>
      <c r="N14" s="302"/>
      <c r="O14" s="303"/>
      <c r="P14" s="303"/>
    </row>
    <row r="15" spans="1:16" s="146" customFormat="1" ht="6.75" customHeight="1">
      <c r="A15" s="130"/>
      <c r="B15" s="210"/>
      <c r="C15" s="130"/>
      <c r="D15" s="112"/>
      <c r="E15" s="143"/>
      <c r="F15" s="142"/>
      <c r="G15" s="143"/>
      <c r="H15" s="143"/>
      <c r="I15" s="143"/>
      <c r="J15" s="143"/>
      <c r="K15" s="212"/>
      <c r="L15" s="143"/>
      <c r="M15" s="143"/>
      <c r="N15" s="204"/>
      <c r="O15" s="143"/>
      <c r="P15" s="143"/>
    </row>
    <row r="16" spans="1:16" ht="17.25" customHeight="1">
      <c r="A16" s="89"/>
      <c r="B16" s="304">
        <v>50</v>
      </c>
      <c r="C16" s="89" t="s">
        <v>83</v>
      </c>
      <c r="D16" s="113" t="s">
        <v>17</v>
      </c>
      <c r="E16" s="144">
        <v>3</v>
      </c>
      <c r="F16" s="305">
        <v>3882</v>
      </c>
      <c r="G16" s="303" t="s">
        <v>211</v>
      </c>
      <c r="H16" s="201">
        <v>173016</v>
      </c>
      <c r="I16" s="199">
        <v>203.3</v>
      </c>
      <c r="J16" s="199">
        <v>609.9</v>
      </c>
      <c r="K16" s="310">
        <v>3687.9</v>
      </c>
      <c r="L16" s="200">
        <v>0.2</v>
      </c>
      <c r="M16" s="201">
        <v>3</v>
      </c>
      <c r="N16" s="302">
        <v>41</v>
      </c>
      <c r="O16" s="303">
        <v>50</v>
      </c>
      <c r="P16" s="303">
        <v>91</v>
      </c>
    </row>
    <row r="17" spans="1:16" ht="27.75" customHeight="1">
      <c r="A17" s="89"/>
      <c r="B17" s="304"/>
      <c r="C17" s="89" t="s">
        <v>84</v>
      </c>
      <c r="D17" s="113" t="s">
        <v>79</v>
      </c>
      <c r="E17" s="144">
        <v>3</v>
      </c>
      <c r="F17" s="305"/>
      <c r="G17" s="303"/>
      <c r="H17" s="31" t="s">
        <v>227</v>
      </c>
      <c r="I17" s="199">
        <v>513</v>
      </c>
      <c r="J17" s="199">
        <v>1539</v>
      </c>
      <c r="K17" s="310"/>
      <c r="L17" s="200">
        <v>0.2</v>
      </c>
      <c r="M17" s="201">
        <v>12</v>
      </c>
      <c r="N17" s="302"/>
      <c r="O17" s="303"/>
      <c r="P17" s="303"/>
    </row>
    <row r="18" spans="1:16" ht="30.75" customHeight="1">
      <c r="A18" s="89"/>
      <c r="B18" s="304"/>
      <c r="C18" s="89" t="s">
        <v>85</v>
      </c>
      <c r="D18" s="113" t="s">
        <v>80</v>
      </c>
      <c r="E18" s="144">
        <v>3</v>
      </c>
      <c r="F18" s="305"/>
      <c r="G18" s="303"/>
      <c r="H18" s="31" t="s">
        <v>228</v>
      </c>
      <c r="I18" s="199">
        <v>513</v>
      </c>
      <c r="J18" s="199">
        <v>1539</v>
      </c>
      <c r="K18" s="310"/>
      <c r="L18" s="200">
        <v>0.2</v>
      </c>
      <c r="M18" s="201">
        <v>12</v>
      </c>
      <c r="N18" s="302"/>
      <c r="O18" s="303"/>
      <c r="P18" s="303"/>
    </row>
    <row r="19" spans="1:16" s="146" customFormat="1" ht="9" customHeight="1">
      <c r="A19" s="130"/>
      <c r="B19" s="210"/>
      <c r="C19" s="130"/>
      <c r="D19" s="112"/>
      <c r="E19" s="143"/>
      <c r="F19" s="142"/>
      <c r="G19" s="143"/>
      <c r="H19" s="143"/>
      <c r="I19" s="143"/>
      <c r="J19" s="143"/>
      <c r="K19" s="212"/>
      <c r="L19" s="143"/>
      <c r="M19" s="143"/>
      <c r="N19" s="204"/>
      <c r="O19" s="143"/>
      <c r="P19" s="143"/>
    </row>
    <row r="20" spans="1:16" ht="34.5" customHeight="1">
      <c r="A20" s="89"/>
      <c r="B20" s="304">
        <v>51</v>
      </c>
      <c r="C20" s="89" t="s">
        <v>83</v>
      </c>
      <c r="D20" s="113" t="s">
        <v>65</v>
      </c>
      <c r="E20" s="144">
        <v>12</v>
      </c>
      <c r="F20" s="305">
        <v>4464</v>
      </c>
      <c r="G20" s="303" t="s">
        <v>176</v>
      </c>
      <c r="H20" s="144" t="s">
        <v>205</v>
      </c>
      <c r="I20" s="202">
        <v>582</v>
      </c>
      <c r="J20" s="202">
        <f>E20*I20</f>
        <v>6984</v>
      </c>
      <c r="K20" s="309">
        <f>J20+J21</f>
        <v>10116</v>
      </c>
      <c r="L20" s="203">
        <v>0.2</v>
      </c>
      <c r="M20" s="144">
        <v>3</v>
      </c>
      <c r="N20" s="302">
        <v>43</v>
      </c>
      <c r="O20" s="303">
        <v>50</v>
      </c>
      <c r="P20" s="303">
        <v>93</v>
      </c>
    </row>
    <row r="21" spans="1:16" ht="12.75">
      <c r="A21" s="89"/>
      <c r="B21" s="304"/>
      <c r="C21" s="89" t="s">
        <v>84</v>
      </c>
      <c r="D21" s="113" t="s">
        <v>111</v>
      </c>
      <c r="E21" s="144">
        <v>12</v>
      </c>
      <c r="F21" s="305"/>
      <c r="G21" s="303"/>
      <c r="H21" s="144" t="s">
        <v>206</v>
      </c>
      <c r="I21" s="202">
        <v>261</v>
      </c>
      <c r="J21" s="202">
        <f>E21*I21</f>
        <v>3132</v>
      </c>
      <c r="K21" s="309"/>
      <c r="L21" s="203">
        <v>0.2</v>
      </c>
      <c r="M21" s="144">
        <v>6</v>
      </c>
      <c r="N21" s="302"/>
      <c r="O21" s="303"/>
      <c r="P21" s="303"/>
    </row>
    <row r="22" spans="1:16" s="146" customFormat="1" ht="9" customHeight="1">
      <c r="A22" s="130"/>
      <c r="B22" s="210"/>
      <c r="C22" s="130"/>
      <c r="D22" s="112"/>
      <c r="E22" s="143"/>
      <c r="F22" s="142"/>
      <c r="G22" s="143"/>
      <c r="H22" s="143"/>
      <c r="I22" s="143"/>
      <c r="J22" s="143"/>
      <c r="K22" s="212"/>
      <c r="L22" s="143"/>
      <c r="M22" s="143"/>
      <c r="N22" s="204"/>
      <c r="O22" s="143"/>
      <c r="P22" s="143"/>
    </row>
    <row r="23" spans="1:16" ht="27" customHeight="1">
      <c r="A23" s="89"/>
      <c r="B23" s="304">
        <v>52</v>
      </c>
      <c r="C23" s="209" t="s">
        <v>85</v>
      </c>
      <c r="D23" s="113" t="s">
        <v>66</v>
      </c>
      <c r="E23" s="144">
        <v>6</v>
      </c>
      <c r="F23" s="305">
        <v>5220</v>
      </c>
      <c r="G23" s="303" t="s">
        <v>176</v>
      </c>
      <c r="H23" s="144" t="s">
        <v>207</v>
      </c>
      <c r="I23" s="202">
        <v>582</v>
      </c>
      <c r="J23" s="202">
        <f>E23*I23</f>
        <v>3492</v>
      </c>
      <c r="K23" s="309">
        <f>J23+J24</f>
        <v>5058</v>
      </c>
      <c r="L23" s="203">
        <v>0.2</v>
      </c>
      <c r="M23" s="144">
        <v>3</v>
      </c>
      <c r="N23" s="302">
        <v>43</v>
      </c>
      <c r="O23" s="303">
        <v>50</v>
      </c>
      <c r="P23" s="303">
        <v>93</v>
      </c>
    </row>
    <row r="24" spans="1:16" ht="27" customHeight="1">
      <c r="A24" s="89"/>
      <c r="B24" s="304"/>
      <c r="C24" s="209" t="s">
        <v>86</v>
      </c>
      <c r="D24" s="236" t="s">
        <v>67</v>
      </c>
      <c r="E24" s="144">
        <v>6</v>
      </c>
      <c r="F24" s="305"/>
      <c r="G24" s="303"/>
      <c r="H24" s="144" t="s">
        <v>208</v>
      </c>
      <c r="I24" s="202">
        <v>261</v>
      </c>
      <c r="J24" s="202">
        <f>E24*I24</f>
        <v>1566</v>
      </c>
      <c r="K24" s="309"/>
      <c r="L24" s="203">
        <v>0.2</v>
      </c>
      <c r="M24" s="144">
        <v>6</v>
      </c>
      <c r="N24" s="302"/>
      <c r="O24" s="303"/>
      <c r="P24" s="303"/>
    </row>
    <row r="25" spans="1:16" s="146" customFormat="1" ht="9" customHeight="1">
      <c r="A25" s="130"/>
      <c r="B25" s="210"/>
      <c r="C25" s="210"/>
      <c r="D25" s="206"/>
      <c r="E25" s="143"/>
      <c r="F25" s="142"/>
      <c r="G25" s="143"/>
      <c r="H25" s="143"/>
      <c r="I25" s="143"/>
      <c r="J25" s="143"/>
      <c r="K25" s="212"/>
      <c r="L25" s="143"/>
      <c r="M25" s="143"/>
      <c r="N25" s="204"/>
      <c r="O25" s="143"/>
      <c r="P25" s="143"/>
    </row>
    <row r="26" spans="1:16" ht="27" customHeight="1">
      <c r="A26" s="89" t="s">
        <v>130</v>
      </c>
      <c r="B26" s="304">
        <v>53</v>
      </c>
      <c r="C26" s="209" t="s">
        <v>83</v>
      </c>
      <c r="D26" s="113" t="s">
        <v>106</v>
      </c>
      <c r="E26" s="144">
        <v>6</v>
      </c>
      <c r="F26" s="305">
        <f>6*480+24*120</f>
        <v>5760</v>
      </c>
      <c r="G26" s="303" t="s">
        <v>176</v>
      </c>
      <c r="H26" s="144" t="s">
        <v>209</v>
      </c>
      <c r="I26" s="202">
        <v>236</v>
      </c>
      <c r="J26" s="202">
        <f>E26*I26</f>
        <v>1416</v>
      </c>
      <c r="K26" s="309">
        <f>J26+J27</f>
        <v>5664</v>
      </c>
      <c r="L26" s="203">
        <v>0.2</v>
      </c>
      <c r="M26" s="144">
        <v>3</v>
      </c>
      <c r="N26" s="302">
        <v>43</v>
      </c>
      <c r="O26" s="303">
        <v>50</v>
      </c>
      <c r="P26" s="303">
        <v>93</v>
      </c>
    </row>
    <row r="27" spans="1:16" ht="54.75" customHeight="1">
      <c r="A27" s="89" t="s">
        <v>131</v>
      </c>
      <c r="B27" s="304"/>
      <c r="C27" s="209" t="s">
        <v>84</v>
      </c>
      <c r="D27" s="166" t="s">
        <v>105</v>
      </c>
      <c r="E27" s="144">
        <v>24</v>
      </c>
      <c r="F27" s="305"/>
      <c r="G27" s="303"/>
      <c r="H27" s="27" t="s">
        <v>210</v>
      </c>
      <c r="I27" s="202">
        <v>177</v>
      </c>
      <c r="J27" s="202">
        <f>E27*I27</f>
        <v>4248</v>
      </c>
      <c r="K27" s="309"/>
      <c r="L27" s="203">
        <v>0.2</v>
      </c>
      <c r="M27" s="144">
        <v>12</v>
      </c>
      <c r="N27" s="302"/>
      <c r="O27" s="303"/>
      <c r="P27" s="303"/>
    </row>
    <row r="28" ht="15" customHeight="1">
      <c r="K28" s="211">
        <f>SUM(K3:K27)</f>
        <v>30248.7</v>
      </c>
    </row>
    <row r="31" spans="11:16" ht="15.75">
      <c r="K31" s="269">
        <f>'Lotti 1 - 7'!K23+'Lotti 8 - 15'!K26+'Lotti 16 - 27'!K34+'Lotto 28 - 36'!K27+'Lotto 37 - 48 '!K30+'Lotto 49 - 53'!K28</f>
        <v>314332.64</v>
      </c>
      <c r="L31" s="270">
        <v>0.2</v>
      </c>
      <c r="M31" s="306">
        <f>K31*20%</f>
        <v>62866.528000000006</v>
      </c>
      <c r="N31" s="307"/>
      <c r="O31" s="306">
        <f>K31+M31</f>
        <v>377199.168</v>
      </c>
      <c r="P31" s="308"/>
    </row>
  </sheetData>
  <sheetProtection/>
  <mergeCells count="37">
    <mergeCell ref="M31:N31"/>
    <mergeCell ref="O31:P31"/>
    <mergeCell ref="K26:K27"/>
    <mergeCell ref="G3:G14"/>
    <mergeCell ref="K3:K14"/>
    <mergeCell ref="G16:G18"/>
    <mergeCell ref="K16:K18"/>
    <mergeCell ref="K20:K21"/>
    <mergeCell ref="G23:G24"/>
    <mergeCell ref="K23:K24"/>
    <mergeCell ref="G26:G27"/>
    <mergeCell ref="B3:B14"/>
    <mergeCell ref="F3:F14"/>
    <mergeCell ref="B16:B18"/>
    <mergeCell ref="F16:F18"/>
    <mergeCell ref="B26:B27"/>
    <mergeCell ref="F26:F27"/>
    <mergeCell ref="B20:B21"/>
    <mergeCell ref="F20:F21"/>
    <mergeCell ref="B23:B24"/>
    <mergeCell ref="F23:F24"/>
    <mergeCell ref="N3:N14"/>
    <mergeCell ref="O3:O14"/>
    <mergeCell ref="G20:G21"/>
    <mergeCell ref="P3:P14"/>
    <mergeCell ref="N16:N18"/>
    <mergeCell ref="O16:O18"/>
    <mergeCell ref="P16:P18"/>
    <mergeCell ref="N26:N27"/>
    <mergeCell ref="O26:O27"/>
    <mergeCell ref="P26:P27"/>
    <mergeCell ref="N20:N21"/>
    <mergeCell ref="O20:O21"/>
    <mergeCell ref="P20:P21"/>
    <mergeCell ref="N23:N24"/>
    <mergeCell ref="O23:O24"/>
    <mergeCell ref="P23:P24"/>
  </mergeCells>
  <printOptions horizontalCentered="1"/>
  <pageMargins left="0.2" right="0.15748031496062992" top="0.4" bottom="0.4330708661417323" header="0.15748031496062992" footer="0.15748031496062992"/>
  <pageSetup fitToHeight="2" fitToWidth="1" horizontalDpi="600" verticalDpi="600" orientation="landscape" paperSize="9" scale="72" r:id="rId1"/>
  <headerFooter alignWithMargins="0">
    <oddHeader>&amp;R&amp;F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Asl n.8</cp:lastModifiedBy>
  <cp:lastPrinted>2009-02-09T12:20:55Z</cp:lastPrinted>
  <dcterms:created xsi:type="dcterms:W3CDTF">2003-03-31T09:14:59Z</dcterms:created>
  <dcterms:modified xsi:type="dcterms:W3CDTF">2009-02-25T09:58:37Z</dcterms:modified>
  <cp:category/>
  <cp:version/>
  <cp:contentType/>
  <cp:contentStatus/>
</cp:coreProperties>
</file>